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ფსიქიატრია\"/>
    </mc:Choice>
  </mc:AlternateContent>
  <bookViews>
    <workbookView xWindow="0" yWindow="735" windowWidth="20640" windowHeight="8865" firstSheet="5" activeTab="8"/>
  </bookViews>
  <sheets>
    <sheet name="ბიუჯეტი 2019" sheetId="30" r:id="rId1"/>
    <sheet name="2019-ამბულატორია" sheetId="29" r:id="rId2"/>
    <sheet name="2019 წლის 1 მარტამდე" sheetId="35" r:id="rId3"/>
    <sheet name="2019 წლის 1 მარტიდან" sheetId="36" r:id="rId4"/>
    <sheet name="2019-ფსიქოსოციალური" sheetId="31" r:id="rId5"/>
    <sheet name="2019-კრიზისული" sheetId="32" r:id="rId6"/>
    <sheet name="მობილური-2019" sheetId="28" r:id="rId7"/>
    <sheet name="Sheet1" sheetId="16" state="hidden" r:id="rId8"/>
    <sheet name="2019 მობილური-დადგენილება" sheetId="37" r:id="rId9"/>
    <sheet name="2019-სტაციონარი" sheetId="34" r:id="rId10"/>
    <sheet name="სტაციონარი-2019" sheetId="38" r:id="rId11"/>
    <sheet name="სტაციონარი-17-18" sheetId="39" r:id="rId12"/>
    <sheet name="Sheet2" sheetId="40" r:id="rId13"/>
  </sheets>
  <calcPr calcId="162913"/>
</workbook>
</file>

<file path=xl/calcChain.xml><?xml version="1.0" encoding="utf-8"?>
<calcChain xmlns="http://schemas.openxmlformats.org/spreadsheetml/2006/main">
  <c r="F90" i="37" l="1"/>
  <c r="F88" i="37"/>
  <c r="F84" i="37"/>
  <c r="F82" i="37"/>
  <c r="N89" i="37" l="1"/>
  <c r="H77" i="37"/>
  <c r="N84" i="37"/>
  <c r="N87" i="37"/>
  <c r="N86" i="37"/>
  <c r="N85" i="37"/>
  <c r="N83" i="37"/>
  <c r="Q84" i="37" s="1"/>
  <c r="H88" i="37"/>
  <c r="I87" i="37"/>
  <c r="I86" i="37"/>
  <c r="F86" i="37"/>
  <c r="Q85" i="37" l="1"/>
  <c r="Q86" i="37" s="1"/>
  <c r="Q88" i="37" s="1"/>
  <c r="Q26" i="40"/>
  <c r="Q24" i="40"/>
  <c r="Q18" i="40"/>
  <c r="Q20" i="40"/>
  <c r="Q22" i="40"/>
  <c r="Q6" i="40"/>
  <c r="R21" i="39"/>
  <c r="R19" i="39"/>
  <c r="P19" i="39"/>
  <c r="O32" i="39"/>
  <c r="O30" i="39"/>
  <c r="Q27" i="39"/>
  <c r="P24" i="39"/>
  <c r="P22" i="39"/>
  <c r="P21" i="39"/>
  <c r="N16" i="40"/>
  <c r="M6" i="40"/>
  <c r="G16" i="40"/>
  <c r="L13" i="40"/>
  <c r="F6" i="40"/>
  <c r="P16" i="40"/>
  <c r="O16" i="40"/>
  <c r="H16" i="40"/>
  <c r="C16" i="40"/>
  <c r="Q15" i="40"/>
  <c r="K15" i="40"/>
  <c r="F15" i="40"/>
  <c r="Q14" i="40"/>
  <c r="K14" i="40"/>
  <c r="F14" i="40"/>
  <c r="Q13" i="40"/>
  <c r="K13" i="40"/>
  <c r="F13" i="40"/>
  <c r="Q12" i="40"/>
  <c r="K12" i="40"/>
  <c r="F12" i="40"/>
  <c r="Q11" i="40"/>
  <c r="K11" i="40"/>
  <c r="F11" i="40"/>
  <c r="Q10" i="40"/>
  <c r="K10" i="40"/>
  <c r="F10" i="40"/>
  <c r="Q9" i="40"/>
  <c r="K9" i="40"/>
  <c r="F9" i="40"/>
  <c r="Q8" i="40"/>
  <c r="K8" i="40"/>
  <c r="F8" i="40"/>
  <c r="Q7" i="40"/>
  <c r="K7" i="40"/>
  <c r="F7" i="40"/>
  <c r="K6" i="40"/>
  <c r="M7" i="40" l="1"/>
  <c r="M15" i="40"/>
  <c r="M11" i="40"/>
  <c r="M10" i="40"/>
  <c r="F16" i="40"/>
  <c r="M14" i="40"/>
  <c r="M13" i="40"/>
  <c r="M9" i="40"/>
  <c r="M12" i="40"/>
  <c r="M8" i="40"/>
  <c r="K16" i="40"/>
  <c r="N9" i="39"/>
  <c r="N8" i="39"/>
  <c r="N7" i="39"/>
  <c r="N6" i="39"/>
  <c r="N5" i="39"/>
  <c r="M16" i="40" l="1"/>
  <c r="I18" i="30"/>
  <c r="I23" i="30"/>
  <c r="I22" i="30"/>
  <c r="I21" i="30"/>
  <c r="I17" i="30"/>
  <c r="H12" i="30"/>
  <c r="L13" i="39"/>
  <c r="M13" i="39"/>
  <c r="R23" i="39" l="1"/>
  <c r="P20" i="39"/>
  <c r="Q17" i="39"/>
  <c r="P17" i="39"/>
  <c r="O17" i="39"/>
  <c r="I17" i="39"/>
  <c r="H17" i="39"/>
  <c r="D17" i="39"/>
  <c r="D19" i="39" s="1"/>
  <c r="L16" i="39"/>
  <c r="G16" i="39"/>
  <c r="N16" i="39" s="1"/>
  <c r="R15" i="39"/>
  <c r="L15" i="39"/>
  <c r="G15" i="39"/>
  <c r="N15" i="39" s="1"/>
  <c r="C15" i="39"/>
  <c r="R14" i="39"/>
  <c r="L14" i="39"/>
  <c r="N14" i="39" s="1"/>
  <c r="G14" i="39"/>
  <c r="R13" i="39"/>
  <c r="N13" i="39"/>
  <c r="G13" i="39"/>
  <c r="R12" i="39"/>
  <c r="L12" i="39"/>
  <c r="G12" i="39"/>
  <c r="N12" i="39" s="1"/>
  <c r="R11" i="39"/>
  <c r="L11" i="39"/>
  <c r="G11" i="39"/>
  <c r="R10" i="39"/>
  <c r="L10" i="39"/>
  <c r="G10" i="39"/>
  <c r="N10" i="39" s="1"/>
  <c r="R9" i="39"/>
  <c r="L9" i="39"/>
  <c r="G9" i="39"/>
  <c r="R8" i="39"/>
  <c r="L8" i="39"/>
  <c r="G8" i="39"/>
  <c r="R7" i="39"/>
  <c r="L7" i="39"/>
  <c r="G7" i="39"/>
  <c r="R6" i="39"/>
  <c r="L6" i="39"/>
  <c r="G6" i="39"/>
  <c r="R5" i="39"/>
  <c r="L5" i="39"/>
  <c r="G5" i="39"/>
  <c r="G17" i="39" s="1"/>
  <c r="P2" i="39"/>
  <c r="L17" i="39" l="1"/>
  <c r="N11" i="39"/>
  <c r="P25" i="39"/>
  <c r="H23" i="39"/>
  <c r="N17" i="39" l="1"/>
  <c r="D16" i="38"/>
  <c r="H19" i="34"/>
  <c r="T19" i="34" l="1"/>
  <c r="I13" i="30"/>
  <c r="Q16" i="34"/>
  <c r="Q15" i="34"/>
  <c r="F16" i="34"/>
  <c r="F5" i="37" l="1"/>
  <c r="G16" i="34" l="1"/>
  <c r="G14" i="34"/>
  <c r="G13" i="34"/>
  <c r="G12" i="34"/>
  <c r="G11" i="34"/>
  <c r="G10" i="34"/>
  <c r="G9" i="34"/>
  <c r="G8" i="34"/>
  <c r="G7" i="34"/>
  <c r="G6" i="34"/>
  <c r="G5" i="34"/>
  <c r="T14" i="34" l="1"/>
  <c r="T13" i="34"/>
  <c r="T12" i="34"/>
  <c r="T9" i="34"/>
  <c r="T8" i="34"/>
  <c r="T7" i="34"/>
  <c r="S14" i="34"/>
  <c r="S13" i="34"/>
  <c r="S12" i="34"/>
  <c r="S11" i="34"/>
  <c r="T11" i="34" s="1"/>
  <c r="S10" i="34"/>
  <c r="T10" i="34" s="1"/>
  <c r="S9" i="34"/>
  <c r="S8" i="34"/>
  <c r="S7" i="34"/>
  <c r="S6" i="34"/>
  <c r="S5" i="34"/>
  <c r="T5" i="34" s="1"/>
  <c r="D14" i="38"/>
  <c r="D13" i="38"/>
  <c r="D12" i="38"/>
  <c r="D11" i="38"/>
  <c r="D10" i="38"/>
  <c r="D9" i="38"/>
  <c r="D8" i="38"/>
  <c r="D7" i="38"/>
  <c r="D6" i="38"/>
  <c r="D5" i="38"/>
  <c r="D87" i="36"/>
  <c r="D80" i="35"/>
  <c r="F85" i="36"/>
  <c r="D76" i="36"/>
  <c r="D75" i="36"/>
  <c r="D73" i="36"/>
  <c r="D70" i="36"/>
  <c r="D65" i="36"/>
  <c r="D63" i="36"/>
  <c r="D56" i="36"/>
  <c r="D51" i="36"/>
  <c r="D45" i="36"/>
  <c r="D42" i="36"/>
  <c r="D38" i="36"/>
  <c r="D34" i="36"/>
  <c r="D29" i="36"/>
  <c r="D26" i="36"/>
  <c r="D23" i="36"/>
  <c r="D16" i="36"/>
  <c r="D15" i="36"/>
  <c r="D10" i="36"/>
  <c r="D8" i="36"/>
  <c r="D6" i="36"/>
  <c r="D4" i="36"/>
  <c r="E19" i="30"/>
  <c r="E18" i="30"/>
  <c r="Q21" i="34"/>
  <c r="Q19" i="34"/>
  <c r="H5" i="30"/>
  <c r="R84" i="29"/>
  <c r="R82" i="29"/>
  <c r="R85" i="29" s="1"/>
  <c r="R86" i="29" s="1"/>
  <c r="Q76" i="29"/>
  <c r="Q75" i="29"/>
  <c r="Q73" i="29"/>
  <c r="Q70" i="29"/>
  <c r="Q65" i="29"/>
  <c r="Q63" i="29"/>
  <c r="Q56" i="29"/>
  <c r="Q51" i="29"/>
  <c r="Q45" i="29"/>
  <c r="Q42" i="29"/>
  <c r="Q38" i="29"/>
  <c r="Q34" i="29"/>
  <c r="Q29" i="29"/>
  <c r="Q26" i="29"/>
  <c r="Q23" i="29"/>
  <c r="Q16" i="29"/>
  <c r="Q10" i="29"/>
  <c r="Q15" i="29"/>
  <c r="Q8" i="29"/>
  <c r="Q6" i="29"/>
  <c r="Q4" i="29"/>
  <c r="P86" i="29"/>
  <c r="P85" i="29"/>
  <c r="P84" i="29"/>
  <c r="P82" i="29"/>
  <c r="P76" i="29"/>
  <c r="P73" i="29"/>
  <c r="P70" i="29"/>
  <c r="P65" i="29"/>
  <c r="P56" i="29"/>
  <c r="P51" i="29"/>
  <c r="P45" i="29"/>
  <c r="P42" i="29"/>
  <c r="P38" i="29"/>
  <c r="P34" i="29"/>
  <c r="P29" i="29"/>
  <c r="P26" i="29"/>
  <c r="P23" i="29"/>
  <c r="P16" i="29"/>
  <c r="P10" i="29"/>
  <c r="P8" i="29"/>
  <c r="P6" i="29"/>
  <c r="P4" i="29"/>
  <c r="T6" i="34" l="1"/>
  <c r="Q23" i="34"/>
  <c r="H10" i="30" s="1"/>
  <c r="Q26" i="34"/>
  <c r="O4" i="29"/>
  <c r="O82" i="29"/>
  <c r="O76" i="29"/>
  <c r="O75" i="29"/>
  <c r="O73" i="29"/>
  <c r="O70" i="29"/>
  <c r="O65" i="29"/>
  <c r="O63" i="29"/>
  <c r="O56" i="29"/>
  <c r="O51" i="29"/>
  <c r="O45" i="29"/>
  <c r="O42" i="29"/>
  <c r="O38" i="29"/>
  <c r="O34" i="29"/>
  <c r="O29" i="29"/>
  <c r="O26" i="29"/>
  <c r="O23" i="29"/>
  <c r="O16" i="29"/>
  <c r="O15" i="29"/>
  <c r="O10" i="29"/>
  <c r="O8" i="29"/>
  <c r="O6" i="29"/>
  <c r="N76" i="29"/>
  <c r="N75" i="29"/>
  <c r="N73" i="29"/>
  <c r="N70" i="29"/>
  <c r="N65" i="29"/>
  <c r="N63" i="29"/>
  <c r="N56" i="29"/>
  <c r="N51" i="29"/>
  <c r="N45" i="29"/>
  <c r="N42" i="29"/>
  <c r="N38" i="29"/>
  <c r="N34" i="29"/>
  <c r="N29" i="29"/>
  <c r="N26" i="29"/>
  <c r="N23" i="29"/>
  <c r="N16" i="29"/>
  <c r="N15" i="29"/>
  <c r="N10" i="29"/>
  <c r="N8" i="29"/>
  <c r="N6" i="29"/>
  <c r="N4" i="29"/>
  <c r="J89" i="29"/>
  <c r="J86" i="29"/>
  <c r="J85" i="29"/>
  <c r="J84" i="29"/>
  <c r="J76" i="29"/>
  <c r="J75" i="29"/>
  <c r="J73" i="29"/>
  <c r="J70" i="29"/>
  <c r="J65" i="29"/>
  <c r="J63" i="29"/>
  <c r="J56" i="29"/>
  <c r="J51" i="29"/>
  <c r="J45" i="29"/>
  <c r="J42" i="29"/>
  <c r="J38" i="29"/>
  <c r="J34" i="29"/>
  <c r="J29" i="29"/>
  <c r="J26" i="29"/>
  <c r="J23" i="29"/>
  <c r="J16" i="29"/>
  <c r="J15" i="29"/>
  <c r="J10" i="29"/>
  <c r="J8" i="29"/>
  <c r="J6" i="29"/>
  <c r="J4" i="29"/>
  <c r="H9" i="30"/>
  <c r="H4" i="37"/>
  <c r="C77" i="37" l="1"/>
  <c r="F71" i="37"/>
  <c r="F69" i="37"/>
  <c r="F67" i="37"/>
  <c r="F64" i="37"/>
  <c r="F61" i="37"/>
  <c r="F59" i="37"/>
  <c r="F55" i="37"/>
  <c r="F52" i="37"/>
  <c r="F49" i="37"/>
  <c r="F44" i="37"/>
  <c r="F42" i="37"/>
  <c r="F39" i="37"/>
  <c r="F37" i="37"/>
  <c r="F36" i="37"/>
  <c r="F35" i="37"/>
  <c r="F31" i="37"/>
  <c r="F27" i="37"/>
  <c r="F22" i="37"/>
  <c r="F19" i="37"/>
  <c r="F17" i="37"/>
  <c r="F14" i="37"/>
  <c r="F9" i="37"/>
  <c r="F3" i="37"/>
  <c r="F84" i="36"/>
  <c r="D82" i="36"/>
  <c r="D85" i="36" s="1"/>
  <c r="H4" i="36"/>
  <c r="H6" i="36" s="1"/>
  <c r="G4" i="36"/>
  <c r="G6" i="36" s="1"/>
  <c r="G10" i="36" s="1"/>
  <c r="D74" i="35"/>
  <c r="D73" i="35"/>
  <c r="D71" i="35"/>
  <c r="D68" i="35"/>
  <c r="D63" i="35"/>
  <c r="D56" i="35"/>
  <c r="D51" i="35"/>
  <c r="D45" i="35"/>
  <c r="D42" i="35"/>
  <c r="D38" i="35"/>
  <c r="D34" i="35"/>
  <c r="D29" i="35"/>
  <c r="D26" i="35"/>
  <c r="D23" i="35"/>
  <c r="D16" i="35"/>
  <c r="D15" i="35"/>
  <c r="D6" i="35"/>
  <c r="H4" i="35"/>
  <c r="H6" i="35" s="1"/>
  <c r="G4" i="35"/>
  <c r="G6" i="35" s="1"/>
  <c r="D4" i="35"/>
  <c r="F77" i="37" l="1"/>
  <c r="F86" i="36"/>
  <c r="G8" i="35"/>
  <c r="H10" i="35" s="1"/>
  <c r="D22" i="30" l="1"/>
  <c r="D21" i="30"/>
  <c r="D19" i="30"/>
  <c r="D18" i="30"/>
  <c r="C19" i="30"/>
  <c r="C18" i="30"/>
  <c r="K6" i="30"/>
  <c r="J6" i="30"/>
  <c r="J7" i="30"/>
  <c r="J8" i="30"/>
  <c r="J9" i="30"/>
  <c r="K9" i="30" s="1"/>
  <c r="J10" i="30"/>
  <c r="K10" i="30" s="1"/>
  <c r="J11" i="30"/>
  <c r="J12" i="30"/>
  <c r="J5" i="30"/>
  <c r="K5" i="30" s="1"/>
  <c r="O10" i="34" l="1"/>
  <c r="P10" i="34" s="1"/>
  <c r="O8" i="34"/>
  <c r="P8" i="34" s="1"/>
  <c r="O9" i="34"/>
  <c r="P9" i="34" s="1"/>
  <c r="O12" i="34"/>
  <c r="P12" i="34" s="1"/>
  <c r="O13" i="34"/>
  <c r="P13" i="34" s="1"/>
  <c r="O6" i="34"/>
  <c r="P6" i="34" s="1"/>
  <c r="N16" i="34"/>
  <c r="N19" i="34" s="1"/>
  <c r="N23" i="34" s="1"/>
  <c r="J21" i="34"/>
  <c r="J13" i="34"/>
  <c r="J12" i="34"/>
  <c r="J10" i="34"/>
  <c r="J9" i="34"/>
  <c r="J8" i="34"/>
  <c r="J6" i="34"/>
  <c r="H26" i="34"/>
  <c r="H27" i="34" s="1"/>
  <c r="E16" i="34"/>
  <c r="D16" i="34"/>
  <c r="F14" i="34"/>
  <c r="O14" i="34" s="1"/>
  <c r="P14" i="34" s="1"/>
  <c r="F11" i="34"/>
  <c r="J11" i="34" s="1"/>
  <c r="F8" i="34"/>
  <c r="F7" i="34"/>
  <c r="J7" i="34" s="1"/>
  <c r="F5" i="34"/>
  <c r="O5" i="34" s="1"/>
  <c r="P5" i="34" s="1"/>
  <c r="H11" i="30"/>
  <c r="H7" i="30"/>
  <c r="H8" i="30"/>
  <c r="D17" i="32"/>
  <c r="D14" i="32"/>
  <c r="D13" i="32"/>
  <c r="E9" i="30"/>
  <c r="F9" i="30" s="1"/>
  <c r="E8" i="30"/>
  <c r="F8" i="30" s="1"/>
  <c r="E5" i="30"/>
  <c r="D13" i="30"/>
  <c r="H14" i="32"/>
  <c r="H13" i="32"/>
  <c r="H15" i="32" s="1"/>
  <c r="C10" i="32"/>
  <c r="C9" i="32"/>
  <c r="C8" i="32"/>
  <c r="C6" i="32"/>
  <c r="J11" i="31"/>
  <c r="J8" i="31"/>
  <c r="J10" i="31" s="1"/>
  <c r="J12" i="31" s="1"/>
  <c r="H6" i="30" s="1"/>
  <c r="I7" i="31"/>
  <c r="I6" i="31"/>
  <c r="I5" i="31"/>
  <c r="G8" i="31"/>
  <c r="G10" i="31" s="1"/>
  <c r="G12" i="31" s="1"/>
  <c r="E8" i="31"/>
  <c r="F7" i="31"/>
  <c r="D7" i="31"/>
  <c r="F6" i="31"/>
  <c r="D6" i="31"/>
  <c r="F5" i="31"/>
  <c r="D5" i="31"/>
  <c r="C13" i="30"/>
  <c r="C21" i="30" s="1"/>
  <c r="E12" i="30"/>
  <c r="F12" i="30" s="1"/>
  <c r="E10" i="30"/>
  <c r="F10" i="30" s="1"/>
  <c r="E7" i="30"/>
  <c r="F7" i="30" s="1"/>
  <c r="E6" i="30"/>
  <c r="F6" i="30" s="1"/>
  <c r="F15" i="29"/>
  <c r="H82" i="29"/>
  <c r="H85" i="29" s="1"/>
  <c r="F83" i="29"/>
  <c r="F76" i="29"/>
  <c r="F75" i="29"/>
  <c r="F73" i="29"/>
  <c r="F70" i="29"/>
  <c r="F65" i="29"/>
  <c r="F63" i="29"/>
  <c r="F56" i="29"/>
  <c r="F51" i="29"/>
  <c r="F45" i="29"/>
  <c r="F42" i="29"/>
  <c r="F38" i="29"/>
  <c r="F34" i="29"/>
  <c r="F29" i="29"/>
  <c r="F26" i="29"/>
  <c r="F23" i="29"/>
  <c r="F16" i="29"/>
  <c r="F6" i="29"/>
  <c r="F10" i="29"/>
  <c r="F8" i="29"/>
  <c r="F4" i="29"/>
  <c r="E83" i="29"/>
  <c r="E76" i="29"/>
  <c r="E75" i="29"/>
  <c r="E73" i="29"/>
  <c r="E70" i="29"/>
  <c r="E65" i="29"/>
  <c r="E63" i="29"/>
  <c r="E56" i="29"/>
  <c r="E51" i="29"/>
  <c r="E45" i="29"/>
  <c r="E42" i="29"/>
  <c r="E38" i="29"/>
  <c r="E34" i="29"/>
  <c r="E29" i="29"/>
  <c r="E26" i="29"/>
  <c r="E23" i="29"/>
  <c r="E16" i="29"/>
  <c r="E10" i="29"/>
  <c r="E8" i="29"/>
  <c r="E6" i="29"/>
  <c r="E4" i="29"/>
  <c r="D76" i="29"/>
  <c r="D75" i="29"/>
  <c r="D73" i="29"/>
  <c r="D70" i="29"/>
  <c r="D65" i="29"/>
  <c r="D63" i="29"/>
  <c r="D56" i="29"/>
  <c r="D51" i="29"/>
  <c r="D45" i="29"/>
  <c r="D42" i="29"/>
  <c r="D38" i="29"/>
  <c r="D34" i="29"/>
  <c r="D29" i="29"/>
  <c r="D26" i="29"/>
  <c r="D23" i="29"/>
  <c r="D16" i="29"/>
  <c r="D10" i="29"/>
  <c r="D8" i="29"/>
  <c r="D6" i="29"/>
  <c r="D4" i="29"/>
  <c r="C82" i="29"/>
  <c r="E22" i="30" l="1"/>
  <c r="E21" i="30"/>
  <c r="C22" i="30"/>
  <c r="J14" i="34"/>
  <c r="O7" i="34"/>
  <c r="P7" i="34" s="1"/>
  <c r="O11" i="34"/>
  <c r="P11" i="34" s="1"/>
  <c r="J5" i="34"/>
  <c r="E13" i="30"/>
  <c r="F5" i="30"/>
  <c r="C58" i="29"/>
  <c r="C34" i="29"/>
  <c r="L6" i="29"/>
  <c r="L4" i="29"/>
  <c r="K4" i="29"/>
  <c r="K6" i="29" s="1"/>
  <c r="J16" i="34" l="1"/>
  <c r="K5" i="34" s="1"/>
  <c r="F19" i="34"/>
  <c r="J20" i="34"/>
  <c r="H13" i="30"/>
  <c r="K10" i="29"/>
  <c r="C77" i="28"/>
  <c r="K14" i="34" l="1"/>
  <c r="F28" i="34"/>
  <c r="F23" i="34"/>
  <c r="J19" i="34"/>
  <c r="J23" i="34" s="1"/>
  <c r="J27" i="34" s="1"/>
  <c r="K10" i="34"/>
  <c r="K6" i="34"/>
  <c r="K9" i="34"/>
  <c r="K7" i="34"/>
  <c r="K12" i="34"/>
  <c r="K13" i="34"/>
  <c r="K11" i="34"/>
  <c r="K8" i="34"/>
  <c r="E10" i="16"/>
  <c r="L12" i="34" l="1"/>
  <c r="M12" i="34" s="1"/>
  <c r="L11" i="34"/>
  <c r="M11" i="34" s="1"/>
  <c r="L6" i="34"/>
  <c r="M6" i="34" s="1"/>
  <c r="L10" i="34"/>
  <c r="M10" i="34" s="1"/>
  <c r="L5" i="34"/>
  <c r="M5" i="34" s="1"/>
  <c r="L14" i="34"/>
  <c r="M14" i="34" s="1"/>
  <c r="L9" i="34"/>
  <c r="M9" i="34" s="1"/>
  <c r="L13" i="34"/>
  <c r="M13" i="34" s="1"/>
  <c r="L7" i="34"/>
  <c r="M7" i="34" s="1"/>
  <c r="L8" i="34"/>
  <c r="M8" i="34" s="1"/>
  <c r="U19" i="16"/>
  <c r="E6" i="16"/>
  <c r="K13" i="16" l="1"/>
  <c r="E13" i="16"/>
  <c r="J13" i="16"/>
  <c r="J9" i="16"/>
  <c r="H13" i="16"/>
  <c r="I18" i="16" l="1"/>
  <c r="L13" i="16"/>
  <c r="M22" i="16" l="1"/>
  <c r="M23" i="16" s="1"/>
  <c r="K21" i="16" l="1"/>
  <c r="K22" i="16" s="1"/>
  <c r="K23" i="16" s="1"/>
  <c r="K24" i="16" s="1"/>
  <c r="K20" i="16"/>
  <c r="T6" i="16"/>
  <c r="U6" i="16" s="1"/>
  <c r="T7" i="16"/>
  <c r="U7" i="16" s="1"/>
  <c r="T8" i="16"/>
  <c r="U8" i="16" s="1"/>
  <c r="T9" i="16"/>
  <c r="U9" i="16" s="1"/>
  <c r="T10" i="16"/>
  <c r="U10" i="16" s="1"/>
  <c r="T11" i="16"/>
  <c r="U11" i="16" s="1"/>
  <c r="T12" i="16"/>
  <c r="U12" i="16" s="1"/>
  <c r="T13" i="16"/>
  <c r="U13" i="16" s="1"/>
  <c r="T14" i="16"/>
  <c r="U14" i="16" s="1"/>
  <c r="T15" i="16"/>
  <c r="U15" i="16" s="1"/>
  <c r="T5" i="16"/>
  <c r="U5" i="16" s="1"/>
  <c r="P6" i="16" l="1"/>
  <c r="P7" i="16"/>
  <c r="P8" i="16"/>
  <c r="P9" i="16"/>
  <c r="P10" i="16"/>
  <c r="P11" i="16"/>
  <c r="P12" i="16"/>
  <c r="P13" i="16"/>
  <c r="P14" i="16"/>
  <c r="P15" i="16"/>
  <c r="P5" i="16"/>
  <c r="J5" i="16"/>
  <c r="L6" i="16"/>
  <c r="E7" i="16"/>
  <c r="E8" i="16"/>
  <c r="E9" i="16"/>
  <c r="L9" i="16" s="1"/>
  <c r="E11" i="16"/>
  <c r="E12" i="16"/>
  <c r="E14" i="16"/>
  <c r="E15" i="16"/>
  <c r="E5" i="16"/>
  <c r="V16" i="16"/>
  <c r="Q16" i="16"/>
  <c r="Y11" i="16" s="1"/>
  <c r="M16" i="16"/>
  <c r="V18" i="16" s="1"/>
  <c r="G16" i="16"/>
  <c r="F16" i="16"/>
  <c r="B16" i="16"/>
  <c r="B18" i="16" s="1"/>
  <c r="B20" i="16" s="1"/>
  <c r="Y15" i="16"/>
  <c r="W15" i="16"/>
  <c r="S15" i="16"/>
  <c r="J15" i="16"/>
  <c r="Y14" i="16"/>
  <c r="W14" i="16"/>
  <c r="S14" i="16"/>
  <c r="J14" i="16"/>
  <c r="Y13" i="16"/>
  <c r="W13" i="16"/>
  <c r="S13" i="16"/>
  <c r="O13" i="16"/>
  <c r="Y12" i="16"/>
  <c r="W12" i="16"/>
  <c r="S12" i="16"/>
  <c r="O12" i="16"/>
  <c r="J12" i="16"/>
  <c r="W11" i="16"/>
  <c r="S11" i="16"/>
  <c r="S10" i="16" s="1"/>
  <c r="O11" i="16"/>
  <c r="J11" i="16"/>
  <c r="W10" i="16"/>
  <c r="J10" i="16"/>
  <c r="Y9" i="16"/>
  <c r="W9" i="16"/>
  <c r="S9" i="16"/>
  <c r="O9" i="16"/>
  <c r="Y8" i="16"/>
  <c r="W8" i="16"/>
  <c r="S8" i="16"/>
  <c r="J8" i="16"/>
  <c r="L8" i="16" s="1"/>
  <c r="Y7" i="16"/>
  <c r="W7" i="16"/>
  <c r="S7" i="16"/>
  <c r="O7" i="16"/>
  <c r="J7" i="16"/>
  <c r="W6" i="16"/>
  <c r="S6" i="16"/>
  <c r="O6" i="16"/>
  <c r="J6" i="16"/>
  <c r="W5" i="16"/>
  <c r="S5" i="16"/>
  <c r="O5" i="16"/>
  <c r="Y5" i="16" l="1"/>
  <c r="Y6" i="16"/>
  <c r="L5" i="16"/>
  <c r="V20" i="16"/>
  <c r="L15" i="16"/>
  <c r="L14" i="16"/>
  <c r="J16" i="16"/>
  <c r="L12" i="16"/>
  <c r="S16" i="16"/>
  <c r="S18" i="16" s="1"/>
  <c r="S20" i="16" s="1"/>
  <c r="L10" i="16"/>
  <c r="AA10" i="16" s="1"/>
  <c r="L11" i="16"/>
  <c r="L7" i="16"/>
  <c r="E16" i="16"/>
  <c r="V24" i="16" l="1"/>
  <c r="W20" i="16"/>
  <c r="Z22" i="16"/>
  <c r="L16" i="16"/>
  <c r="Z14" i="16" l="1"/>
  <c r="AA14" i="16" s="1"/>
  <c r="Z13" i="16"/>
  <c r="AA13" i="16" s="1"/>
  <c r="Z6" i="16"/>
  <c r="AA6" i="16" s="1"/>
  <c r="Z5" i="16"/>
  <c r="AA5" i="16" s="1"/>
  <c r="Z12" i="16"/>
  <c r="AA12" i="16" s="1"/>
  <c r="Z9" i="16"/>
  <c r="AA9" i="16" s="1"/>
  <c r="Z15" i="16"/>
  <c r="AA15" i="16" s="1"/>
  <c r="Z11" i="16"/>
  <c r="AA11" i="16" s="1"/>
  <c r="Z8" i="16"/>
  <c r="AA8" i="16" s="1"/>
  <c r="Z7" i="16"/>
  <c r="AA7" i="16" s="1"/>
</calcChain>
</file>

<file path=xl/sharedStrings.xml><?xml version="1.0" encoding="utf-8"?>
<sst xmlns="http://schemas.openxmlformats.org/spreadsheetml/2006/main" count="796" uniqueCount="272">
  <si>
    <t>შპს აკად. ბ. ნანეიშვილის სახ. ფსიქიკური ჯანმრთელობის ეროვნული ცენტრი</t>
  </si>
  <si>
    <t>შპს "ქუთაისის ფსიქიკური ჯანმრთელობის ცენტრი"</t>
  </si>
  <si>
    <t>შპს "ფსიქიკური ჯანმრთელობის და ნარკომანიის პრევენციის ცენტრი"</t>
  </si>
  <si>
    <t>დაწესებულებები</t>
  </si>
  <si>
    <t>N</t>
  </si>
  <si>
    <t xml:space="preserve">ფსიქიკური ჯანმრთელობა 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</si>
  <si>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</si>
  <si>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</si>
  <si>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</si>
  <si>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</si>
  <si>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</si>
  <si>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</si>
  <si>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</si>
  <si>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ქ. თბილისი</t>
  </si>
  <si>
    <t>ა(ა)იპ - ფსიქიკური ჯანმრთელობის ასოციაცია</t>
  </si>
  <si>
    <t>იმერეთი</t>
  </si>
  <si>
    <t>შპს „ქუთაისის ფსიქიკური ჯანმრთელობის ცენტრი"</t>
  </si>
  <si>
    <t>კახეთი</t>
  </si>
  <si>
    <t>შპს „თელავის ფსიქონევროლოგიური დისპანსერი"</t>
  </si>
  <si>
    <t>ფსიქიატრიული კრიზისული ინტერვენციის კომპონენტის მიმწოდებლები</t>
  </si>
  <si>
    <t>შპს „საოჯახო მედიცინის ეროვნული სასწავლო ცენტრი"</t>
  </si>
  <si>
    <t>ქვემო  ქართლი</t>
  </si>
  <si>
    <t>შპს „რუსთავის ფსიქიკური ჯანმრთელობის ცენტრი"</t>
  </si>
  <si>
    <t>აჭარა</t>
  </si>
  <si>
    <t>თვის დღეები</t>
  </si>
  <si>
    <t>შპს ,,რესპუბლიკური, კლინიკური, ფსიქონევროლოგიური საავადმყოფო"</t>
  </si>
  <si>
    <t>შპს "ქალაქ თბილისის ფსიქიკური ჯანმრთელობის ცენტრი"</t>
  </si>
  <si>
    <t>შპს. აკად. ო. ღუდუშაურის სახელობის ეროვნული სამედიცინო ცენტრი</t>
  </si>
  <si>
    <t>შპს ''რუსთავის ფსიქიკური ჯანმრთელობის ცენტრი''</t>
  </si>
  <si>
    <t>შპს "სენაკის სარაიონთაშორისო ფსიქონევროლოგიური დისპანსერი"</t>
  </si>
  <si>
    <t>სტაციონარული კომპონენტის ბიუჯეტი (ლარი)</t>
  </si>
  <si>
    <t>მწვავე საწოლი ფაქტობრივი</t>
  </si>
  <si>
    <t>საშუალო მწვავე საწოლდღე</t>
  </si>
  <si>
    <t>სავარაუდო ბიუჯეტი (მწვავე შემთხვევების)</t>
  </si>
  <si>
    <t>ქრონიკული საწოლი ფაქტობრივი</t>
  </si>
  <si>
    <t>არანებაყოფლობითი საწოლი</t>
  </si>
  <si>
    <t>ქრონიკული საწოლდღის ღირებულება</t>
  </si>
  <si>
    <t>სავარაუდო ბიუჯეტი (ქრონიკული შემთხვევების)</t>
  </si>
  <si>
    <t>სულ თვის ბიუჯეტი</t>
  </si>
  <si>
    <t xml:space="preserve">სულ </t>
  </si>
  <si>
    <t xml:space="preserve">სულ წლიური </t>
  </si>
  <si>
    <t>შპს „ფსიქიკური ჯანმრთელობის და ნარკომანიის პრევენციის ცენტრი“</t>
  </si>
  <si>
    <t>შპს „ქალაქ თბილისის ფსიქიკური ჯანმრთელობის ცენტრი“</t>
  </si>
  <si>
    <t>შპს „რუსთავის ფსიქიკური ჯანმრთელობის ცენტრი“</t>
  </si>
  <si>
    <t>შპს „ივანე ბოკერიას სახელობის თბილისის რეფერალური ჰოსპიტალი“</t>
  </si>
  <si>
    <t>%</t>
  </si>
  <si>
    <t>2017 წლის ბიუჯეტი</t>
  </si>
  <si>
    <t>2017 თვის ბიუჯეტი</t>
  </si>
  <si>
    <t>2018 დამრგვალებით</t>
  </si>
  <si>
    <t>სხვაობა</t>
  </si>
  <si>
    <t>გლდანის რაიონი</t>
  </si>
  <si>
    <t>ნაძალადევის რაიონი</t>
  </si>
  <si>
    <t>დიდუბის რაიონი</t>
  </si>
  <si>
    <t>ჩუღურეთის რაიონი</t>
  </si>
  <si>
    <t>ვაკის რაიონი</t>
  </si>
  <si>
    <t>კრწანისის რაიონი</t>
  </si>
  <si>
    <t>მთაწმინდის რაიონი</t>
  </si>
  <si>
    <t>საბურთალოს რაიონი</t>
  </si>
  <si>
    <t>რაიონი/ბენეფიციარი</t>
  </si>
  <si>
    <t>დევნილები</t>
  </si>
  <si>
    <t>შპს „აფხაზეთის ფსიქონევროლოგიური დისპანსერი“</t>
  </si>
  <si>
    <t>ქ. რუსთავი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</si>
  <si>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</si>
  <si>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</si>
  <si>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</si>
  <si>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თეთრიწყაროს მუნიციპალიტეტი</t>
  </si>
  <si>
    <t>მარნეულის მუნიციპალიტეტი</t>
  </si>
  <si>
    <t>წალკის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</si>
  <si>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</si>
  <si>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</si>
  <si>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</si>
  <si>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შპს „გორმედი“</t>
  </si>
  <si>
    <t>ახალციხის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</si>
  <si>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</si>
  <si>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</si>
  <si>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</si>
  <si>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ბორჯომის მუნიციპალიტეტი</t>
  </si>
  <si>
    <t>ნინოწმინდის მუნიციპალიტეტი</t>
  </si>
  <si>
    <t>შპს „აღმოსავლეთ საქართველოს ფსიქიკური ჯანმრთელობის ცენტრი“</t>
  </si>
  <si>
    <t>შპს „უნიმედი სამცხე“</t>
  </si>
  <si>
    <t xml:space="preserve">საგარეჯოს მუნიციპალიტეტი </t>
  </si>
  <si>
    <t>მცხეთის მუნიციპალიტეტი</t>
  </si>
  <si>
    <t>დუშეთის მუნიციპალიტეტი</t>
  </si>
  <si>
    <t>თიანეთის მუნიციპალიტეტი</t>
  </si>
  <si>
    <t>ყაზბეგის მუნიციპალიტეტი</t>
  </si>
  <si>
    <t>შპს – მცხეთის პირველადი ჯანდაცვის ცენტრი „ჯანმრთელი თაობა“</t>
  </si>
  <si>
    <t>თელავის მუნიციპალიტეტი</t>
  </si>
  <si>
    <t>ახმეტის მუნიციპალიტეტი</t>
  </si>
  <si>
    <t>გურჯაანის მუნიციპალიტეტი</t>
  </si>
  <si>
    <t>ყვარლის მუნიციპალიტეტი</t>
  </si>
  <si>
    <t>სიღნაღის მუნიციპალიტეტი</t>
  </si>
  <si>
    <t>ლაგოდეხის მუნიციპალიტეტი</t>
  </si>
  <si>
    <t>დედოფლისწყაროს მუნიციპალიტეტი</t>
  </si>
  <si>
    <t>შპს „თელავის ფსიქონევროლოგიური დისპანსერი“</t>
  </si>
  <si>
    <t>შპს „არქიმედეს კლინიკა“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</si>
  <si>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</si>
  <si>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</si>
  <si>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</si>
  <si>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</si>
  <si>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</si>
  <si>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</si>
  <si>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</si>
  <si>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ჭიათურის მუნიციპალიტეტი</t>
  </si>
  <si>
    <t>ხონის მუნიციპალიტეტი</t>
  </si>
  <si>
    <t>რაჭა-ლეჩხუმი და ქვემო სვანეთის რეგიონი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</si>
  <si>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</si>
  <si>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</si>
  <si>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</si>
  <si>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</si>
  <si>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 xml:space="preserve">კახეთის რეგიონი </t>
  </si>
  <si>
    <t>ქვემო ქართლის რეგიონი</t>
  </si>
  <si>
    <t>შიდა ქართლის რეგიონი</t>
  </si>
  <si>
    <t>იმერეთის რეგიონი</t>
  </si>
  <si>
    <t>სამცხე– ჯავახეთის რეგიონი</t>
  </si>
  <si>
    <t>მცხეთა– მთიანეთის რეგიონი</t>
  </si>
  <si>
    <t>სენაკის მუნიციპალიტეტი</t>
  </si>
  <si>
    <t>ქ. ფოთი</t>
  </si>
  <si>
    <t>ზუგდიდის მუნიციპალიტეტი</t>
  </si>
  <si>
    <t>აბაშის მუნიციპალიტეტი</t>
  </si>
  <si>
    <t>მარტვილის მუნიციპალიტეტი</t>
  </si>
  <si>
    <t>მესტიის მუნიციპალიტეტი</t>
  </si>
  <si>
    <t>ჩხოროწყუს მუნიციპალიტეტი</t>
  </si>
  <si>
    <t>ხობის მუნიციპალიტეტი</t>
  </si>
  <si>
    <t>წალენჯიხის მუნიციპალიტეტი</t>
  </si>
  <si>
    <t>სამეგრელო– ზემო სვანეთის რეგიონი</t>
  </si>
  <si>
    <t>დაწესებულება</t>
  </si>
  <si>
    <t>რეგიონი</t>
  </si>
  <si>
    <t>ოზურგეთის მუნიციპალიტეტი</t>
  </si>
  <si>
    <t>ლანჩხუთის მუნიციპალიტეტი</t>
  </si>
  <si>
    <t>ჩოხატაურის მუნიციპალიტეტი</t>
  </si>
  <si>
    <t>შპს „მედალფა“</t>
  </si>
  <si>
    <t>გურიის    რეგიონი</t>
  </si>
  <si>
    <t>ლანჩხუთის ფსიქონევროლოგიური დისპანსერი შპს „ნევრონი“</t>
  </si>
  <si>
    <t>ქ. ბათუმი და ბათუმის მუნიციპალიტეტი</t>
  </si>
  <si>
    <t>ქ. ქუთაისი და ქუთაისის მუნიციპალიტეტი</t>
  </si>
  <si>
    <t>ქ. გორი და გორის მუნიციპალიტეტი</t>
  </si>
  <si>
    <t xml:space="preserve"> თბილისი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</si>
  <si>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</si>
  <si>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</si>
  <si>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</si>
  <si>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</si>
  <si>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</si>
  <si>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აჭარის ავტონომიური რესპუბლიკა</t>
  </si>
  <si>
    <t>ქ. რუსთავი და რუსთავის მუნიციპალიტეტი</t>
  </si>
  <si>
    <t>ხარაგაულის მუნიციპალიტეტი (1/2)</t>
  </si>
  <si>
    <t>გუნდების რაოდენობა</t>
  </si>
  <si>
    <t xml:space="preserve"> შპს ,, # 5 კლინიკური საავადმყოფო''</t>
  </si>
  <si>
    <t xml:space="preserve">შპს „აღმოსავლეთ საქართველოს ფსიქიკური ჯანმრთელობის ცენტრი“ </t>
  </si>
  <si>
    <t>სულ 11 თვე</t>
  </si>
  <si>
    <t>დეკემბერი 2017</t>
  </si>
  <si>
    <t>სულ 2018 11 თვე</t>
  </si>
  <si>
    <t xml:space="preserve">სულ 2018 </t>
  </si>
  <si>
    <t>2017 წლიური ბიუჯეტი</t>
  </si>
  <si>
    <t xml:space="preserve">2018 დამრგვალებით </t>
  </si>
  <si>
    <t>2018 (15% ზრდა)</t>
  </si>
  <si>
    <t>2018 (+10%)</t>
  </si>
  <si>
    <t>ბიუჯეტი</t>
  </si>
  <si>
    <t>დღე</t>
  </si>
  <si>
    <t>დაცვა</t>
  </si>
  <si>
    <t xml:space="preserve">თვის ბიუჯეტი </t>
  </si>
  <si>
    <t xml:space="preserve">შპს „ფსიქიკური ჯანმრთელობის და ნარკომანიის პრევენციის ცენტრი“ </t>
  </si>
  <si>
    <t>ქ თბილისი</t>
  </si>
  <si>
    <t>შიდა ქართლის და ქვემო ქართლის რეგიონი</t>
  </si>
  <si>
    <t>ქალაქი/რეგიონი</t>
  </si>
  <si>
    <t>თვის ბიუჯეტი (ლარი)</t>
  </si>
  <si>
    <t xml:space="preserve">სამგორის რაიონი </t>
  </si>
  <si>
    <t xml:space="preserve">ისნის რაიონი </t>
  </si>
  <si>
    <t>წყალტუბოს მუნიციპალიტეტი (1/3)</t>
  </si>
  <si>
    <t>წყალტუბოს მუნიციპალიტეტი (2/3)</t>
  </si>
  <si>
    <t>ამბულატორიული მომსახურება (ევექსის გარეშე)</t>
  </si>
  <si>
    <t>ფსიქოსოციალური რეაბილიტაცია (ევექსის გარეშე)</t>
  </si>
  <si>
    <t>პირველი ვარიანტი</t>
  </si>
  <si>
    <t>2018 11 თვე</t>
  </si>
  <si>
    <t>დეკემბერი</t>
  </si>
  <si>
    <t>რესურსი</t>
  </si>
  <si>
    <t>ფსიქოსოციალურის რესურსი</t>
  </si>
  <si>
    <t>თვე</t>
  </si>
  <si>
    <t>შპს „ბათუმის სამედიცინო ცენტრი“</t>
  </si>
  <si>
    <t xml:space="preserve">შპს „ბათუმის სამედიცინო ცენტრი“ </t>
  </si>
  <si>
    <t xml:space="preserve">შპს „ქუთაისის ფსიქიკური ჯანმრთელობის ცენტრი“ </t>
  </si>
  <si>
    <t xml:space="preserve">ქ. ფოთი </t>
  </si>
  <si>
    <t>გლდანის რაიონი, ქ. თბილისი</t>
  </si>
  <si>
    <t>ნაძალადევის რაიონი, ქ. თბილისი</t>
  </si>
  <si>
    <t>დიდუბის რაიონი, ქ. თბილისი</t>
  </si>
  <si>
    <t>ჩუღურეთის რაიონი, ქ. თბილისი</t>
  </si>
  <si>
    <t>კრწანისის რაიონი, ქ. თბილისი</t>
  </si>
  <si>
    <t>მთაწმინდის რაიონი, ქ. თბილისი</t>
  </si>
  <si>
    <t>ვაკის რაიონი, ქ. თბილისი</t>
  </si>
  <si>
    <t>საბურთალოს რაიონი, ქ. თბილისი</t>
  </si>
  <si>
    <t>სამგორის რაიონი, ქ. თბილისი</t>
  </si>
  <si>
    <t>ისნის რაიონი, ქ. თბილისი</t>
  </si>
  <si>
    <t>ა(ა)იპ – საქართველოს ფსიქიკური ჯანმრთელობის ასოციაცია (2019 წლის 1 მარტამდე)</t>
  </si>
  <si>
    <t>ა(ა)იპ – საქართველოს ფსიქიკური ჯანმრთელობის ასოციაცია (2019 წლის 1 მარტიდან)</t>
  </si>
  <si>
    <t>ა(ა)იპ – მტკიცებულებაზე დაფუძნებული პრაქტიკის ცენტრი (2019 წლის 1 მარტამდე)</t>
  </si>
  <si>
    <t>შპს „რუსთავის ფსიქიკური ჯანმრთელობის ცენტრი“ (2019 წლის 1 მარტამდე)</t>
  </si>
  <si>
    <t>შპს „რუსთავის ფსიქიკური ჯანმრთელობის ცენტრი“ (2019 წლის 1 მარტიდან)</t>
  </si>
  <si>
    <t>შპს „თელავის ფსიქონევროლოგიური დისპანსერი“ (2019 წლის 1 მარტამდე)</t>
  </si>
  <si>
    <t>შპს „თელავის ფსიქონევროლოგიური დისპანსერი“ (2019 წლის 1 მარტიდან)</t>
  </si>
  <si>
    <t>შპს „სენაკის სარაიონთაშორისო ფსიქონევროლოგიური დისპანსერი“ (2019 წლის 1 მარტიდან)</t>
  </si>
  <si>
    <t>შპს „რუსთავის ფსიქიკური ჯანმრთელობის ცენტრი“ (2019 წლის 1 ივნისიდან)</t>
  </si>
  <si>
    <t>შპს „სენაკის სარაიონთაშორისო ფსიქონევროლოგიური დისპანსერი“ (2019 წლის 1 ივნისიდან)</t>
  </si>
  <si>
    <t>შპს „ფსიქიკური ჯანმრთელობის და ნარკომანიის პრევენციის ცენტრი“ (2019 წლის 1 ივნისიდან)</t>
  </si>
  <si>
    <t>ლანჩხუთის ფსიქონევროლოგიური დისპანსერი შპს „ნევრონი“ (2019 წლის 1 ივნისიდან)</t>
  </si>
  <si>
    <t>შპს „ქალაქ თბილისის ფსიქიკური ჯანმრთელობის ცენტრი“ (2019 წლის 1 ივნისიდან)</t>
  </si>
  <si>
    <t>შპს „აკად. ბ. ნანეიშვილის სახ. ფსიქიკური ჯანმრთელობის ეროვნული ცენტრი“(2019 წლის 1 ივნისიდან)</t>
  </si>
  <si>
    <t>ა(ა)იპ -საქართველოს ფსიქიკური ჯანმრთელობის ასოციაცია</t>
  </si>
  <si>
    <t xml:space="preserve"> 
შპს „აკად. ბ. ნანეიშვილის სახ. ფსიქიკური ჯანმრთელობის ეროვნული ცენტრი“ </t>
  </si>
  <si>
    <t>თერჯოლის მუნიციპალიტეტი (1/7)</t>
  </si>
  <si>
    <t>თერჯოლის მუნიციპალიტეტი (6/7)</t>
  </si>
  <si>
    <t>ტყიბულის მუნიციპალიტეტი (1/5)</t>
  </si>
  <si>
    <t>ტყიბულის მუნიციპალიტეტი (4/5)</t>
  </si>
  <si>
    <t>შპს ,,იმერმედი"</t>
  </si>
  <si>
    <t xml:space="preserve">შპს „სენაკის სარაიონთაშორისო ფსიქონევროლოგიური დისპანსერი“ </t>
  </si>
  <si>
    <t>შპს ,,საოჯახო მედიცინის ცენტრი"</t>
  </si>
  <si>
    <t>მარტი-ნოემბერი</t>
  </si>
  <si>
    <t>დეკემბერი-იანვარი-თებერვალი</t>
  </si>
  <si>
    <t>2019 (დამრგვალებით)</t>
  </si>
  <si>
    <t>სხვაობა 2018-თან</t>
  </si>
  <si>
    <t>% ზრდა</t>
  </si>
  <si>
    <t>სათემო</t>
  </si>
  <si>
    <t>სტაციონარი</t>
  </si>
  <si>
    <t xml:space="preserve">სათემო </t>
  </si>
  <si>
    <t>ლარი</t>
  </si>
  <si>
    <t xml:space="preserve"> თვის ბიუჯეტი</t>
  </si>
  <si>
    <t>2019 (1 varianti)</t>
  </si>
  <si>
    <t>2019 bolo</t>
  </si>
  <si>
    <t>სხვაობა 2018</t>
  </si>
  <si>
    <t>% მატება</t>
  </si>
  <si>
    <t>შპს „ფსიქიკური ჯანმრთელობის და ნარკომანიის პრევენციის ცენტრი“ (2019 წლის 1 მარტიდან)</t>
  </si>
  <si>
    <t>შპს „აღმოსავლეთ საქართველოს ფსიქიკური ჯანმრთელობის ცენტრი“ (2019 წლის 1 ივნისიდან)</t>
  </si>
  <si>
    <t>ააიპ “სამცხე-ჯავახეთის ფსიქიკური ჯანმრთელობის სათემო ცენტრი"  (2019 წლის 1 თებერვლიდან)</t>
  </si>
  <si>
    <t>შპს ,,იმერმედი" (2019 წლის 1 ივნისიდან)</t>
  </si>
  <si>
    <t xml:space="preserve">ააიპ "ოზურგეთის ფსიქიკური ჯანმრთელობის სათემო ცენტრი  (2019 წლის 1 თებარვალი) </t>
  </si>
  <si>
    <t>სს ,,სამედიცინო კორპორაცია ევექსი“</t>
  </si>
  <si>
    <t>ააიპ ,,სამცხე-ჯავახეთის ფსიქიკური ჯანმრთელობის სათემო ცენტრი“ (2019 წლის 1 თებერვლიდან)</t>
  </si>
  <si>
    <t>ააიპ ,,ოზურგეთის ფსიქიკური ჯანმრთელობის სათემო ცენტრი“  (2019 წლის 1 თებერვლიდან)</t>
  </si>
  <si>
    <t xml:space="preserve">შპს „სენაკის ფსიქიკური ჯანმრთელობის ცენტრი“ </t>
  </si>
  <si>
    <t>შპს „სენაკის ფსიქიკური ჯანმრთელობის ცენტრი"</t>
  </si>
  <si>
    <t>შპს ,,საოჯახო მედიცინის ეროვნული  სასწავლო ცენტრი"</t>
  </si>
  <si>
    <t>შპს „სენაკის ფსიქიკური ჯანმრთელობის ცენტრი“ (2019 წლის 1 მარტიდან)</t>
  </si>
  <si>
    <t>შპს „სენაკის ფსიქიკური ჯანმრთელობის ცენტრი“ (2019 წლის 1 ივნისიდან)</t>
  </si>
  <si>
    <t xml:space="preserve"> თვის ბიუჯეტი (ლარი)</t>
  </si>
  <si>
    <t>შპს "სენაკის ფსიქიკური ჯანმრთელობის ცენტრი"</t>
  </si>
  <si>
    <t>იმერმედი</t>
  </si>
  <si>
    <t xml:space="preserve">შპს ,,იმერმედი" </t>
  </si>
  <si>
    <t>ჰოსპიტლები</t>
  </si>
  <si>
    <t>კლინიკები</t>
  </si>
  <si>
    <t>სს ,,ევექსის ჰოსპიტლები“</t>
  </si>
  <si>
    <t>mwvave</t>
  </si>
  <si>
    <t>qronikuli</t>
  </si>
  <si>
    <t>მწვავე ვაუჩერის ღირებულება</t>
  </si>
  <si>
    <t>2018 თვის ბიუჯეტი</t>
  </si>
  <si>
    <t xml:space="preserve"> შპს ,,N 5 კლინიკური საავადმყოფო''</t>
  </si>
  <si>
    <t>მწვავე ვაუჩერის ღირებულება (ლარი)</t>
  </si>
  <si>
    <t>სავარაუდო ბიუჯეტი (მწვავე შემთხვევების) (ლარი)</t>
  </si>
  <si>
    <t>ქრონიკული საწოლდღის/არანებაყოფლობითი საწოლდღის ღირებულება (ლარი)</t>
  </si>
  <si>
    <t>სავარაუდო ბიუჯეტი (ქრონიკული შემთხვევების) (ლარი)</t>
  </si>
  <si>
    <t>ბავშვთა სტაციონარი/არანებაყოფლობითი სტაციონარი ბიუჯეტი (ლარი)</t>
  </si>
  <si>
    <t>სტაციონარული კომპონენტის სულ თვის ბიუჯეტი</t>
  </si>
  <si>
    <t>მოზრდილთა სტაციონარული კომპონენტის 2018 თვის დამტკიცებული ბიუჯეტი (ლარი)</t>
  </si>
  <si>
    <t>ბავშვთა სტაციონარული კომპონენტის 2018 თვის დამტკიცებული ბიუჯეტი (ლარი)</t>
  </si>
  <si>
    <t>დეკემბერი 2017+სადავო (სავარაუდო)</t>
  </si>
  <si>
    <t>სულ წლიური  (მოზრდილთა სტაციონარი)</t>
  </si>
  <si>
    <t>სულ წლიური (ბავშვთა სტაციონარი)</t>
  </si>
  <si>
    <t>სულ სტაციონარი (ლარი)</t>
  </si>
  <si>
    <t>მოზრდილთა სტაციონარული კომპონენტის ბიუჯეტი (ლარი)</t>
  </si>
  <si>
    <t>ბავშვთა სტაციონარული კომპონენტის ბიუჯეტი (ლარი)</t>
  </si>
  <si>
    <t>გუნდი</t>
  </si>
  <si>
    <t>სულ ბიუჯეტი</t>
  </si>
  <si>
    <t>ფასი</t>
  </si>
  <si>
    <t>2020 weli</t>
  </si>
  <si>
    <t>ახალი გუნდების დამატების სქემა (პირობითად) 2020-ში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</si>
</sst>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₾_-;\-* #,##0.00\ _₾_-;_-* &quot;-&quot;??\ _₾_-;_-@_-"/>
    <numFmt numFmtId="165" formatCode="_(* #,##0.0_);_(* \(#,##0.0\);_(* &quot;-&quot;??_);_(@_)"/>
    <numFmt numFmtId="166" formatCode="_-* #,##0.0\ _₾_-;\-* #,##0.0\ _₾_-;_-* &quot;-&quot;??\ _₾_-;_-@_-"/>
    <numFmt numFmtId="167" formatCode="_-* #,##0.0\ _₾_-;\-* #,##0.0\ _₾_-;_-* &quot;-&quot;?\ _₾_-;_-@_-"/>
    <numFmt numFmtId="168" formatCode="_(* #,##0.0_);_(* \(#,##0.0\);_(* &quot;-&quot;?_);_(@_)"/>
    <numFmt numFmtId="169" formatCode="_-* #,##0\ _₾_-;\-* #,##0\ _₾_-;_-* &quot;-&quot;??\ _₾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Calibri"/>
      <family val="2"/>
      <scheme val="minor"/>
    </font>
    <font>
      <sz val="11"/>
      <name val="Sylfaen"/>
      <family val="1"/>
      <charset val="204"/>
    </font>
    <font>
      <sz val="10"/>
      <color theme="1"/>
      <name val="Sylfae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333333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sz val="10"/>
      <color rgb="FFFF0000"/>
      <name val="Calibri"/>
      <family val="2"/>
      <scheme val="minor"/>
    </font>
    <font>
      <b/>
      <sz val="10"/>
      <color theme="1"/>
      <name val="Sylfaen"/>
      <family val="1"/>
    </font>
    <font>
      <sz val="9"/>
      <color theme="1"/>
      <name val="Sylfaen"/>
      <family val="1"/>
    </font>
    <font>
      <sz val="10"/>
      <color rgb="FF333333"/>
      <name val="Sylfaen"/>
      <family val="1"/>
    </font>
    <font>
      <sz val="11"/>
      <color rgb="FF000000"/>
      <name val="Sylfaen"/>
      <family val="1"/>
      <charset val="204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05">
    <xf numFmtId="0" fontId="0" fillId="0" borderId="0" xfId="0"/>
    <xf numFmtId="43" fontId="0" fillId="0" borderId="0" xfId="1" applyFont="1"/>
    <xf numFmtId="43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0" xfId="0" applyNumberFormat="1" applyAlignment="1">
      <alignment horizontal="left"/>
    </xf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0" fillId="4" borderId="1" xfId="0" applyFill="1" applyBorder="1"/>
    <xf numFmtId="164" fontId="0" fillId="0" borderId="0" xfId="0" applyNumberFormat="1"/>
    <xf numFmtId="0" fontId="5" fillId="0" borderId="1" xfId="0" applyFont="1" applyBorder="1" applyAlignment="1">
      <alignment vertical="center" wrapText="1"/>
    </xf>
    <xf numFmtId="0" fontId="7" fillId="0" borderId="6" xfId="0" applyFont="1" applyBorder="1" applyAlignment="1">
      <alignment wrapText="1"/>
    </xf>
    <xf numFmtId="0" fontId="8" fillId="0" borderId="6" xfId="0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0" fillId="0" borderId="6" xfId="0" applyBorder="1"/>
    <xf numFmtId="0" fontId="11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1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/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/>
    <xf numFmtId="0" fontId="7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165" fontId="18" fillId="0" borderId="0" xfId="1" applyNumberFormat="1" applyFont="1"/>
    <xf numFmtId="165" fontId="14" fillId="0" borderId="0" xfId="1" applyNumberFormat="1" applyFont="1" applyAlignment="1">
      <alignment horizontal="center" vertical="center"/>
    </xf>
    <xf numFmtId="165" fontId="5" fillId="0" borderId="1" xfId="1" applyNumberFormat="1" applyFont="1" applyBorder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9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8" fillId="0" borderId="0" xfId="0" applyNumberFormat="1" applyFont="1"/>
    <xf numFmtId="165" fontId="0" fillId="0" borderId="1" xfId="1" applyNumberFormat="1" applyFont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/>
    </xf>
    <xf numFmtId="165" fontId="0" fillId="0" borderId="0" xfId="0" applyNumberFormat="1"/>
    <xf numFmtId="167" fontId="5" fillId="0" borderId="0" xfId="0" applyNumberFormat="1" applyFont="1" applyAlignment="1">
      <alignment horizontal="center" vertical="center" wrapText="1"/>
    </xf>
    <xf numFmtId="0" fontId="0" fillId="0" borderId="0" xfId="0" applyFill="1"/>
    <xf numFmtId="165" fontId="7" fillId="0" borderId="1" xfId="1" applyNumberFormat="1" applyFont="1" applyFill="1" applyBorder="1" applyAlignment="1">
      <alignment horizontal="center" vertical="center"/>
    </xf>
    <xf numFmtId="165" fontId="8" fillId="0" borderId="6" xfId="1" applyNumberFormat="1" applyFont="1" applyFill="1" applyBorder="1" applyAlignment="1">
      <alignment horizontal="center"/>
    </xf>
    <xf numFmtId="166" fontId="9" fillId="0" borderId="0" xfId="0" applyNumberFormat="1" applyFont="1" applyFill="1"/>
    <xf numFmtId="164" fontId="0" fillId="0" borderId="0" xfId="0" applyNumberFormat="1" applyFill="1"/>
    <xf numFmtId="43" fontId="14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165" fontId="7" fillId="0" borderId="6" xfId="1" applyNumberFormat="1" applyFont="1" applyBorder="1" applyAlignment="1">
      <alignment horizontal="center" vertical="center"/>
    </xf>
    <xf numFmtId="0" fontId="0" fillId="4" borderId="0" xfId="0" applyFill="1"/>
    <xf numFmtId="0" fontId="6" fillId="4" borderId="1" xfId="0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center"/>
    </xf>
    <xf numFmtId="164" fontId="0" fillId="4" borderId="0" xfId="0" applyNumberFormat="1" applyFill="1"/>
    <xf numFmtId="43" fontId="0" fillId="4" borderId="0" xfId="1" applyFont="1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0" xfId="1" applyFont="1"/>
    <xf numFmtId="164" fontId="7" fillId="0" borderId="0" xfId="0" applyNumberFormat="1" applyFont="1"/>
    <xf numFmtId="167" fontId="0" fillId="0" borderId="0" xfId="0" applyNumberFormat="1"/>
    <xf numFmtId="43" fontId="5" fillId="0" borderId="0" xfId="1" applyFont="1"/>
    <xf numFmtId="164" fontId="5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43" fontId="0" fillId="0" borderId="1" xfId="0" applyNumberForma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0" fillId="0" borderId="0" xfId="0" applyAlignment="1">
      <alignment horizontal="right" indent="1"/>
    </xf>
    <xf numFmtId="3" fontId="11" fillId="0" borderId="4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3" fontId="5" fillId="0" borderId="4" xfId="1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/>
    </xf>
    <xf numFmtId="165" fontId="7" fillId="0" borderId="27" xfId="1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10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0" xfId="0" applyFont="1" applyBorder="1"/>
    <xf numFmtId="0" fontId="13" fillId="0" borderId="32" xfId="0" applyFont="1" applyBorder="1" applyAlignment="1">
      <alignment horizontal="left" vertical="top"/>
    </xf>
    <xf numFmtId="0" fontId="7" fillId="0" borderId="32" xfId="0" applyFont="1" applyBorder="1" applyAlignment="1">
      <alignment wrapText="1"/>
    </xf>
    <xf numFmtId="0" fontId="7" fillId="0" borderId="32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33" xfId="0" applyFont="1" applyBorder="1" applyAlignment="1">
      <alignment horizontal="left" vertical="top" wrapText="1"/>
    </xf>
    <xf numFmtId="0" fontId="7" fillId="0" borderId="32" xfId="0" applyFont="1" applyBorder="1" applyAlignment="1">
      <alignment vertical="center" wrapText="1"/>
    </xf>
    <xf numFmtId="168" fontId="7" fillId="0" borderId="0" xfId="0" applyNumberFormat="1" applyFont="1"/>
    <xf numFmtId="0" fontId="7" fillId="0" borderId="16" xfId="0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7" fillId="0" borderId="0" xfId="0" applyNumberFormat="1" applyFont="1" applyAlignment="1">
      <alignment wrapText="1"/>
    </xf>
    <xf numFmtId="3" fontId="14" fillId="0" borderId="0" xfId="0" applyNumberFormat="1" applyFont="1" applyAlignment="1">
      <alignment horizontal="center" vertical="center"/>
    </xf>
    <xf numFmtId="43" fontId="5" fillId="0" borderId="0" xfId="0" applyNumberFormat="1" applyFont="1"/>
    <xf numFmtId="168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43" fontId="0" fillId="0" borderId="0" xfId="0" applyNumberFormat="1" applyAlignment="1"/>
    <xf numFmtId="43" fontId="7" fillId="0" borderId="0" xfId="0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43" fontId="0" fillId="0" borderId="1" xfId="0" applyNumberFormat="1" applyBorder="1"/>
    <xf numFmtId="164" fontId="0" fillId="0" borderId="1" xfId="0" applyNumberFormat="1" applyBorder="1"/>
    <xf numFmtId="164" fontId="15" fillId="4" borderId="1" xfId="0" applyNumberFormat="1" applyFont="1" applyFill="1" applyBorder="1" applyAlignment="1">
      <alignment horizontal="center"/>
    </xf>
    <xf numFmtId="43" fontId="15" fillId="4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3" fontId="11" fillId="0" borderId="4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0" fillId="4" borderId="0" xfId="0" applyNumberFormat="1" applyFill="1" applyAlignment="1">
      <alignment horizontal="center" vertical="center"/>
    </xf>
    <xf numFmtId="168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/>
    </xf>
    <xf numFmtId="0" fontId="21" fillId="0" borderId="0" xfId="0" applyFont="1"/>
    <xf numFmtId="0" fontId="14" fillId="0" borderId="4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165" fontId="5" fillId="0" borderId="6" xfId="1" applyNumberFormat="1" applyFont="1" applyBorder="1" applyAlignment="1">
      <alignment horizontal="center" vertical="center" wrapText="1"/>
    </xf>
    <xf numFmtId="43" fontId="7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0" xfId="0" applyFont="1" applyFill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3" fontId="0" fillId="0" borderId="0" xfId="0" applyNumberFormat="1"/>
    <xf numFmtId="3" fontId="0" fillId="0" borderId="35" xfId="0" applyNumberFormat="1" applyBorder="1" applyAlignment="1">
      <alignment horizontal="center" vertical="center" wrapText="1"/>
    </xf>
    <xf numFmtId="0" fontId="11" fillId="6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0" fillId="4" borderId="35" xfId="0" applyNumberFormat="1" applyFill="1" applyBorder="1" applyAlignment="1">
      <alignment horizontal="center" vertical="center" wrapText="1"/>
    </xf>
    <xf numFmtId="165" fontId="7" fillId="0" borderId="36" xfId="1" applyNumberFormat="1" applyFon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 wrapText="1"/>
    </xf>
    <xf numFmtId="169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43" fontId="7" fillId="0" borderId="0" xfId="0" applyNumberFormat="1" applyFont="1"/>
    <xf numFmtId="3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7" fillId="0" borderId="12" xfId="1" applyNumberFormat="1" applyFont="1" applyBorder="1" applyAlignment="1">
      <alignment horizontal="center" vertical="center"/>
    </xf>
    <xf numFmtId="165" fontId="7" fillId="0" borderId="17" xfId="1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165" fontId="7" fillId="0" borderId="19" xfId="1" applyNumberFormat="1" applyFont="1" applyBorder="1" applyAlignment="1">
      <alignment horizontal="center" vertical="center"/>
    </xf>
    <xf numFmtId="165" fontId="7" fillId="0" borderId="20" xfId="1" applyNumberFormat="1" applyFont="1" applyBorder="1" applyAlignment="1">
      <alignment horizontal="center" vertical="center"/>
    </xf>
    <xf numFmtId="165" fontId="7" fillId="0" borderId="22" xfId="1" applyNumberFormat="1" applyFont="1" applyBorder="1" applyAlignment="1">
      <alignment horizontal="center" vertical="center"/>
    </xf>
    <xf numFmtId="165" fontId="7" fillId="0" borderId="34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7" fillId="0" borderId="15" xfId="1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65" fontId="7" fillId="0" borderId="30" xfId="1" applyNumberFormat="1" applyFont="1" applyBorder="1" applyAlignment="1">
      <alignment horizontal="center" vertical="center"/>
    </xf>
    <xf numFmtId="165" fontId="7" fillId="0" borderId="31" xfId="1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left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7"/>
  <sheetViews>
    <sheetView topLeftCell="B1" workbookViewId="0">
      <selection activeCell="D19" sqref="D19"/>
    </sheetView>
  </sheetViews>
  <sheetFormatPr defaultColWidth="54.85546875" defaultRowHeight="15" x14ac:dyDescent="0.25"/>
  <cols>
    <col min="1" max="1" width="11" customWidth="1"/>
    <col min="2" max="2" width="50.7109375" bestFit="1" customWidth="1"/>
    <col min="3" max="4" width="15.7109375" customWidth="1"/>
    <col min="5" max="5" width="16.85546875" customWidth="1"/>
    <col min="6" max="6" width="8" customWidth="1"/>
    <col min="7" max="7" width="3.7109375" customWidth="1"/>
    <col min="8" max="8" width="15.7109375" bestFit="1" customWidth="1"/>
    <col min="9" max="9" width="17.42578125" customWidth="1"/>
    <col min="10" max="10" width="15.7109375" customWidth="1"/>
    <col min="11" max="11" width="17.5703125" customWidth="1"/>
  </cols>
  <sheetData>
    <row r="4" spans="2:12" ht="22.5" x14ac:dyDescent="0.25">
      <c r="B4" s="62" t="s">
        <v>5</v>
      </c>
      <c r="C4" s="64">
        <v>2017</v>
      </c>
      <c r="D4" s="64">
        <v>2018</v>
      </c>
      <c r="E4" s="65" t="s">
        <v>49</v>
      </c>
      <c r="F4" s="65" t="s">
        <v>45</v>
      </c>
      <c r="H4" s="44">
        <v>2019</v>
      </c>
      <c r="I4" s="160" t="s">
        <v>216</v>
      </c>
      <c r="J4" s="160" t="s">
        <v>217</v>
      </c>
      <c r="K4" s="160" t="s">
        <v>218</v>
      </c>
    </row>
    <row r="5" spans="2:12" x14ac:dyDescent="0.25">
      <c r="B5" s="63" t="s">
        <v>6</v>
      </c>
      <c r="C5" s="15">
        <v>2865300</v>
      </c>
      <c r="D5" s="15">
        <v>5570700</v>
      </c>
      <c r="E5" s="15">
        <f>D5-C5</f>
        <v>2705400</v>
      </c>
      <c r="F5" s="15">
        <f>E5/C5*100</f>
        <v>94.419432520154956</v>
      </c>
      <c r="H5" s="151">
        <f>'2019-ამბულატორია'!R86</f>
        <v>6847950</v>
      </c>
      <c r="I5" s="1">
        <v>6850000</v>
      </c>
      <c r="J5" s="2">
        <f>I5-D5</f>
        <v>1279300</v>
      </c>
      <c r="K5">
        <f>J5/D5*100</f>
        <v>22.964797960758972</v>
      </c>
    </row>
    <row r="6" spans="2:12" x14ac:dyDescent="0.25">
      <c r="B6" s="63" t="s">
        <v>7</v>
      </c>
      <c r="C6" s="15">
        <v>70100</v>
      </c>
      <c r="D6" s="15">
        <v>77800</v>
      </c>
      <c r="E6" s="15">
        <f t="shared" ref="E6:E12" si="0">D6-C6</f>
        <v>7700</v>
      </c>
      <c r="F6" s="15">
        <f t="shared" ref="F6:F12" si="1">E6/C6*100</f>
        <v>10.984308131241084</v>
      </c>
      <c r="H6" s="151">
        <f>'2019-ფსიქოსოციალური'!J12</f>
        <v>87710</v>
      </c>
      <c r="I6" s="1">
        <v>88000</v>
      </c>
      <c r="J6" s="2">
        <f t="shared" ref="J6:J12" si="2">I6-D6</f>
        <v>10200</v>
      </c>
      <c r="K6">
        <f>J6/D6*100</f>
        <v>13.110539845758353</v>
      </c>
    </row>
    <row r="7" spans="2:12" x14ac:dyDescent="0.25">
      <c r="B7" s="63" t="s">
        <v>8</v>
      </c>
      <c r="C7" s="15">
        <v>151000</v>
      </c>
      <c r="D7" s="104">
        <v>151000</v>
      </c>
      <c r="E7" s="15">
        <f t="shared" si="0"/>
        <v>0</v>
      </c>
      <c r="F7" s="15">
        <f t="shared" si="1"/>
        <v>0</v>
      </c>
      <c r="H7" s="151">
        <f>D7</f>
        <v>151000</v>
      </c>
      <c r="I7" s="1">
        <v>151000</v>
      </c>
      <c r="J7" s="2">
        <f t="shared" si="2"/>
        <v>0</v>
      </c>
    </row>
    <row r="8" spans="2:12" x14ac:dyDescent="0.25">
      <c r="B8" s="63" t="s">
        <v>9</v>
      </c>
      <c r="C8" s="15">
        <v>662300</v>
      </c>
      <c r="D8" s="104">
        <v>662300</v>
      </c>
      <c r="E8" s="15">
        <f t="shared" si="0"/>
        <v>0</v>
      </c>
      <c r="F8" s="15">
        <f t="shared" si="1"/>
        <v>0</v>
      </c>
      <c r="H8" s="151">
        <f>D8</f>
        <v>662300</v>
      </c>
      <c r="I8" s="1">
        <v>662300</v>
      </c>
      <c r="J8" s="2">
        <f t="shared" si="2"/>
        <v>0</v>
      </c>
    </row>
    <row r="9" spans="2:12" ht="30" x14ac:dyDescent="0.25">
      <c r="B9" s="63" t="s">
        <v>10</v>
      </c>
      <c r="C9" s="15">
        <v>232200</v>
      </c>
      <c r="D9" s="15">
        <v>774000</v>
      </c>
      <c r="E9" s="15">
        <f t="shared" si="0"/>
        <v>541800</v>
      </c>
      <c r="F9" s="15">
        <f t="shared" si="1"/>
        <v>233.33333333333334</v>
      </c>
      <c r="H9" s="151">
        <f>I9</f>
        <v>1718200</v>
      </c>
      <c r="I9" s="1">
        <v>1718200</v>
      </c>
      <c r="J9" s="2">
        <f t="shared" si="2"/>
        <v>944200</v>
      </c>
      <c r="K9">
        <f>J9/D9*100</f>
        <v>121.98966408268734</v>
      </c>
    </row>
    <row r="10" spans="2:12" ht="30" x14ac:dyDescent="0.25">
      <c r="B10" s="63" t="s">
        <v>11</v>
      </c>
      <c r="C10" s="15">
        <v>11479100</v>
      </c>
      <c r="D10" s="15">
        <v>12793700</v>
      </c>
      <c r="E10" s="15">
        <f t="shared" si="0"/>
        <v>1314600</v>
      </c>
      <c r="F10" s="15">
        <f t="shared" si="1"/>
        <v>11.452117326271223</v>
      </c>
      <c r="H10" s="151">
        <f>'2019-სტაციონარი'!Q23</f>
        <v>13791860</v>
      </c>
      <c r="I10" s="1">
        <v>13550000</v>
      </c>
      <c r="J10" s="2">
        <f t="shared" si="2"/>
        <v>756300</v>
      </c>
      <c r="K10" s="2">
        <f>J10/D10*100</f>
        <v>5.9115033180393475</v>
      </c>
    </row>
    <row r="11" spans="2:12" x14ac:dyDescent="0.25">
      <c r="B11" s="63"/>
      <c r="C11" s="15"/>
      <c r="D11" s="15">
        <v>350000</v>
      </c>
      <c r="E11" s="15"/>
      <c r="F11" s="15"/>
      <c r="H11" s="151">
        <f>D11</f>
        <v>350000</v>
      </c>
      <c r="I11" s="1">
        <v>360000</v>
      </c>
      <c r="J11" s="2">
        <f t="shared" si="2"/>
        <v>10000</v>
      </c>
    </row>
    <row r="12" spans="2:12" ht="30" x14ac:dyDescent="0.25">
      <c r="B12" s="63" t="s">
        <v>12</v>
      </c>
      <c r="C12" s="15">
        <v>540000</v>
      </c>
      <c r="D12" s="104">
        <v>620500</v>
      </c>
      <c r="E12" s="15">
        <f t="shared" si="0"/>
        <v>80500</v>
      </c>
      <c r="F12" s="15">
        <f t="shared" si="1"/>
        <v>14.907407407407408</v>
      </c>
      <c r="H12" s="151">
        <f>D12</f>
        <v>620500</v>
      </c>
      <c r="I12" s="1">
        <v>620500</v>
      </c>
      <c r="J12" s="2">
        <f t="shared" si="2"/>
        <v>0</v>
      </c>
    </row>
    <row r="13" spans="2:12" ht="15.75" x14ac:dyDescent="0.25">
      <c r="C13" s="66">
        <f>C5+C6+C7+C8+C9+C10+C12</f>
        <v>16000000</v>
      </c>
      <c r="D13" s="66">
        <f>D5+D6+D7+D8+D9+D10+D12+D11</f>
        <v>21000000</v>
      </c>
      <c r="E13" s="66">
        <f>E5+E6+E7+E8+E9+E10+E12</f>
        <v>4650000</v>
      </c>
      <c r="H13" s="66">
        <f>H5+H6+H7+H8+H9+H10+H12+H11</f>
        <v>24229520</v>
      </c>
      <c r="I13" s="66">
        <f>I5+I6+I7+I8+I9+I10+I12+I11</f>
        <v>24000000</v>
      </c>
    </row>
    <row r="14" spans="2:12" x14ac:dyDescent="0.25">
      <c r="C14" s="2"/>
      <c r="L14" s="2"/>
    </row>
    <row r="15" spans="2:12" x14ac:dyDescent="0.25">
      <c r="C15" s="2"/>
      <c r="I15" s="2"/>
    </row>
    <row r="16" spans="2:12" x14ac:dyDescent="0.25">
      <c r="B16" s="4"/>
      <c r="C16" s="65">
        <v>2017</v>
      </c>
      <c r="D16" s="65">
        <v>2018</v>
      </c>
      <c r="E16" s="65">
        <v>2019</v>
      </c>
      <c r="L16" s="2"/>
    </row>
    <row r="17" spans="2:12" x14ac:dyDescent="0.25">
      <c r="B17" s="4"/>
      <c r="C17" s="165" t="s">
        <v>222</v>
      </c>
      <c r="D17" s="165" t="s">
        <v>222</v>
      </c>
      <c r="E17" s="165" t="s">
        <v>222</v>
      </c>
      <c r="F17" s="20"/>
      <c r="I17" s="2">
        <f>H12/12/100/30.5</f>
        <v>16.953551912568308</v>
      </c>
      <c r="J17" s="2">
        <v>23</v>
      </c>
    </row>
    <row r="18" spans="2:12" x14ac:dyDescent="0.25">
      <c r="B18" s="4" t="s">
        <v>219</v>
      </c>
      <c r="C18" s="162">
        <f>C5+C6+C7+C8+C9</f>
        <v>3980900</v>
      </c>
      <c r="D18" s="163">
        <f>D5+D6+D7+D8+D9</f>
        <v>7235800</v>
      </c>
      <c r="E18" s="163">
        <f>I5+I6+I7+I8+I9</f>
        <v>9469500</v>
      </c>
      <c r="H18" s="2"/>
      <c r="I18" s="2">
        <f>J17*30.5*180*12</f>
        <v>1515240</v>
      </c>
      <c r="L18" s="2"/>
    </row>
    <row r="19" spans="2:12" x14ac:dyDescent="0.25">
      <c r="B19" s="4" t="s">
        <v>220</v>
      </c>
      <c r="C19" s="162">
        <f>C10+C12</f>
        <v>12019100</v>
      </c>
      <c r="D19" s="162">
        <f>D10+D11+D12</f>
        <v>13764200</v>
      </c>
      <c r="E19" s="162">
        <f>I10+I11+I12</f>
        <v>14530500</v>
      </c>
      <c r="F19" s="2"/>
      <c r="H19" s="2"/>
      <c r="I19" s="2"/>
    </row>
    <row r="20" spans="2:12" x14ac:dyDescent="0.25">
      <c r="B20" s="4"/>
      <c r="C20" s="164" t="s">
        <v>45</v>
      </c>
      <c r="D20" s="164" t="s">
        <v>45</v>
      </c>
      <c r="E20" s="164" t="s">
        <v>45</v>
      </c>
      <c r="I20">
        <v>1350000</v>
      </c>
      <c r="L20" s="2"/>
    </row>
    <row r="21" spans="2:12" x14ac:dyDescent="0.25">
      <c r="B21" s="4" t="s">
        <v>221</v>
      </c>
      <c r="C21" s="163">
        <f>C18/C13*100</f>
        <v>24.880625000000002</v>
      </c>
      <c r="D21" s="163">
        <f>D18/D13*100</f>
        <v>34.456190476190471</v>
      </c>
      <c r="E21" s="163">
        <f>E18/I13*100</f>
        <v>39.456249999999997</v>
      </c>
      <c r="F21" s="20"/>
      <c r="I21">
        <f>I20+I20*10/100</f>
        <v>1485000</v>
      </c>
    </row>
    <row r="22" spans="2:12" x14ac:dyDescent="0.25">
      <c r="B22" s="4" t="s">
        <v>220</v>
      </c>
      <c r="C22" s="163">
        <f>C19/C13*100</f>
        <v>75.119375000000005</v>
      </c>
      <c r="D22" s="163">
        <f>D19/D13*100</f>
        <v>65.543809523809529</v>
      </c>
      <c r="E22" s="162">
        <f>E19/I13*100</f>
        <v>60.543749999999996</v>
      </c>
      <c r="F22" s="2"/>
      <c r="I22">
        <f>I21+I21*5/100</f>
        <v>1559250</v>
      </c>
    </row>
    <row r="23" spans="2:12" x14ac:dyDescent="0.25">
      <c r="C23" s="20"/>
      <c r="E23" s="20"/>
      <c r="I23">
        <f>I22+I22*5/100</f>
        <v>1637212.5</v>
      </c>
    </row>
    <row r="24" spans="2:12" x14ac:dyDescent="0.25">
      <c r="C24" s="20"/>
      <c r="E24" s="2"/>
    </row>
    <row r="25" spans="2:12" x14ac:dyDescent="0.25">
      <c r="C25" s="20"/>
      <c r="E25" s="2"/>
    </row>
    <row r="26" spans="2:12" x14ac:dyDescent="0.25">
      <c r="D26" s="2"/>
    </row>
    <row r="27" spans="2:12" x14ac:dyDescent="0.25">
      <c r="E27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0"/>
  <sheetViews>
    <sheetView workbookViewId="0">
      <selection activeCell="H15" sqref="H15"/>
    </sheetView>
  </sheetViews>
  <sheetFormatPr defaultRowHeight="15" x14ac:dyDescent="0.25"/>
  <cols>
    <col min="1" max="1" width="6.5703125" customWidth="1"/>
    <col min="2" max="2" width="15.7109375" customWidth="1"/>
    <col min="3" max="3" width="52.42578125" style="87" bestFit="1" customWidth="1"/>
    <col min="4" max="4" width="15.140625" style="90" customWidth="1"/>
    <col min="5" max="5" width="14.5703125" bestFit="1" customWidth="1"/>
    <col min="6" max="7" width="18.140625" customWidth="1"/>
    <col min="8" max="8" width="16.140625" customWidth="1"/>
    <col min="9" max="9" width="11.42578125" bestFit="1" customWidth="1"/>
    <col min="10" max="13" width="18.42578125" style="90" customWidth="1"/>
    <col min="14" max="14" width="18.42578125" style="172" customWidth="1"/>
    <col min="15" max="16" width="18.42578125" style="90" customWidth="1"/>
    <col min="17" max="17" width="18.42578125" style="177" customWidth="1"/>
    <col min="19" max="19" width="12.42578125" customWidth="1"/>
    <col min="20" max="20" width="11.5703125" bestFit="1" customWidth="1"/>
    <col min="22" max="22" width="9.5703125" bestFit="1" customWidth="1"/>
    <col min="23" max="23" width="11.42578125" bestFit="1" customWidth="1"/>
    <col min="24" max="24" width="11.5703125" bestFit="1" customWidth="1"/>
    <col min="26" max="26" width="11.5703125" bestFit="1" customWidth="1"/>
    <col min="214" max="214" width="68.28515625" customWidth="1"/>
    <col min="215" max="215" width="17.85546875" bestFit="1" customWidth="1"/>
    <col min="216" max="216" width="11.7109375" customWidth="1"/>
    <col min="217" max="217" width="10.7109375" customWidth="1"/>
    <col min="218" max="218" width="12" customWidth="1"/>
    <col min="219" max="219" width="14.85546875" customWidth="1"/>
    <col min="220" max="220" width="11.85546875" customWidth="1"/>
    <col min="221" max="221" width="10.42578125" customWidth="1"/>
    <col min="223" max="223" width="12.85546875" customWidth="1"/>
    <col min="224" max="224" width="16.140625" customWidth="1"/>
    <col min="226" max="226" width="15.140625" bestFit="1" customWidth="1"/>
    <col min="470" max="470" width="68.28515625" customWidth="1"/>
    <col min="471" max="471" width="17.85546875" bestFit="1" customWidth="1"/>
    <col min="472" max="472" width="11.7109375" customWidth="1"/>
    <col min="473" max="473" width="10.7109375" customWidth="1"/>
    <col min="474" max="474" width="12" customWidth="1"/>
    <col min="475" max="475" width="14.85546875" customWidth="1"/>
    <col min="476" max="476" width="11.85546875" customWidth="1"/>
    <col min="477" max="477" width="10.42578125" customWidth="1"/>
    <col min="479" max="479" width="12.85546875" customWidth="1"/>
    <col min="480" max="480" width="16.140625" customWidth="1"/>
    <col min="482" max="482" width="15.140625" bestFit="1" customWidth="1"/>
    <col min="726" max="726" width="68.28515625" customWidth="1"/>
    <col min="727" max="727" width="17.85546875" bestFit="1" customWidth="1"/>
    <col min="728" max="728" width="11.7109375" customWidth="1"/>
    <col min="729" max="729" width="10.7109375" customWidth="1"/>
    <col min="730" max="730" width="12" customWidth="1"/>
    <col min="731" max="731" width="14.85546875" customWidth="1"/>
    <col min="732" max="732" width="11.85546875" customWidth="1"/>
    <col min="733" max="733" width="10.42578125" customWidth="1"/>
    <col min="735" max="735" width="12.85546875" customWidth="1"/>
    <col min="736" max="736" width="16.140625" customWidth="1"/>
    <col min="738" max="738" width="15.140625" bestFit="1" customWidth="1"/>
    <col min="982" max="982" width="68.28515625" customWidth="1"/>
    <col min="983" max="983" width="17.85546875" bestFit="1" customWidth="1"/>
    <col min="984" max="984" width="11.7109375" customWidth="1"/>
    <col min="985" max="985" width="10.7109375" customWidth="1"/>
    <col min="986" max="986" width="12" customWidth="1"/>
    <col min="987" max="987" width="14.85546875" customWidth="1"/>
    <col min="988" max="988" width="11.85546875" customWidth="1"/>
    <col min="989" max="989" width="10.42578125" customWidth="1"/>
    <col min="991" max="991" width="12.85546875" customWidth="1"/>
    <col min="992" max="992" width="16.140625" customWidth="1"/>
    <col min="994" max="994" width="15.140625" bestFit="1" customWidth="1"/>
    <col min="1238" max="1238" width="68.28515625" customWidth="1"/>
    <col min="1239" max="1239" width="17.85546875" bestFit="1" customWidth="1"/>
    <col min="1240" max="1240" width="11.7109375" customWidth="1"/>
    <col min="1241" max="1241" width="10.7109375" customWidth="1"/>
    <col min="1242" max="1242" width="12" customWidth="1"/>
    <col min="1243" max="1243" width="14.85546875" customWidth="1"/>
    <col min="1244" max="1244" width="11.85546875" customWidth="1"/>
    <col min="1245" max="1245" width="10.42578125" customWidth="1"/>
    <col min="1247" max="1247" width="12.85546875" customWidth="1"/>
    <col min="1248" max="1248" width="16.140625" customWidth="1"/>
    <col min="1250" max="1250" width="15.140625" bestFit="1" customWidth="1"/>
    <col min="1494" max="1494" width="68.28515625" customWidth="1"/>
    <col min="1495" max="1495" width="17.85546875" bestFit="1" customWidth="1"/>
    <col min="1496" max="1496" width="11.7109375" customWidth="1"/>
    <col min="1497" max="1497" width="10.7109375" customWidth="1"/>
    <col min="1498" max="1498" width="12" customWidth="1"/>
    <col min="1499" max="1499" width="14.85546875" customWidth="1"/>
    <col min="1500" max="1500" width="11.85546875" customWidth="1"/>
    <col min="1501" max="1501" width="10.42578125" customWidth="1"/>
    <col min="1503" max="1503" width="12.85546875" customWidth="1"/>
    <col min="1504" max="1504" width="16.140625" customWidth="1"/>
    <col min="1506" max="1506" width="15.140625" bestFit="1" customWidth="1"/>
    <col min="1750" max="1750" width="68.28515625" customWidth="1"/>
    <col min="1751" max="1751" width="17.85546875" bestFit="1" customWidth="1"/>
    <col min="1752" max="1752" width="11.7109375" customWidth="1"/>
    <col min="1753" max="1753" width="10.7109375" customWidth="1"/>
    <col min="1754" max="1754" width="12" customWidth="1"/>
    <col min="1755" max="1755" width="14.85546875" customWidth="1"/>
    <col min="1756" max="1756" width="11.85546875" customWidth="1"/>
    <col min="1757" max="1757" width="10.42578125" customWidth="1"/>
    <col min="1759" max="1759" width="12.85546875" customWidth="1"/>
    <col min="1760" max="1760" width="16.140625" customWidth="1"/>
    <col min="1762" max="1762" width="15.140625" bestFit="1" customWidth="1"/>
    <col min="2006" max="2006" width="68.28515625" customWidth="1"/>
    <col min="2007" max="2007" width="17.85546875" bestFit="1" customWidth="1"/>
    <col min="2008" max="2008" width="11.7109375" customWidth="1"/>
    <col min="2009" max="2009" width="10.7109375" customWidth="1"/>
    <col min="2010" max="2010" width="12" customWidth="1"/>
    <col min="2011" max="2011" width="14.85546875" customWidth="1"/>
    <col min="2012" max="2012" width="11.85546875" customWidth="1"/>
    <col min="2013" max="2013" width="10.42578125" customWidth="1"/>
    <col min="2015" max="2015" width="12.85546875" customWidth="1"/>
    <col min="2016" max="2016" width="16.140625" customWidth="1"/>
    <col min="2018" max="2018" width="15.140625" bestFit="1" customWidth="1"/>
    <col min="2262" max="2262" width="68.28515625" customWidth="1"/>
    <col min="2263" max="2263" width="17.85546875" bestFit="1" customWidth="1"/>
    <col min="2264" max="2264" width="11.7109375" customWidth="1"/>
    <col min="2265" max="2265" width="10.7109375" customWidth="1"/>
    <col min="2266" max="2266" width="12" customWidth="1"/>
    <col min="2267" max="2267" width="14.85546875" customWidth="1"/>
    <col min="2268" max="2268" width="11.85546875" customWidth="1"/>
    <col min="2269" max="2269" width="10.42578125" customWidth="1"/>
    <col min="2271" max="2271" width="12.85546875" customWidth="1"/>
    <col min="2272" max="2272" width="16.140625" customWidth="1"/>
    <col min="2274" max="2274" width="15.140625" bestFit="1" customWidth="1"/>
    <col min="2518" max="2518" width="68.28515625" customWidth="1"/>
    <col min="2519" max="2519" width="17.85546875" bestFit="1" customWidth="1"/>
    <col min="2520" max="2520" width="11.7109375" customWidth="1"/>
    <col min="2521" max="2521" width="10.7109375" customWidth="1"/>
    <col min="2522" max="2522" width="12" customWidth="1"/>
    <col min="2523" max="2523" width="14.85546875" customWidth="1"/>
    <col min="2524" max="2524" width="11.85546875" customWidth="1"/>
    <col min="2525" max="2525" width="10.42578125" customWidth="1"/>
    <col min="2527" max="2527" width="12.85546875" customWidth="1"/>
    <col min="2528" max="2528" width="16.140625" customWidth="1"/>
    <col min="2530" max="2530" width="15.140625" bestFit="1" customWidth="1"/>
    <col min="2774" max="2774" width="68.28515625" customWidth="1"/>
    <col min="2775" max="2775" width="17.85546875" bestFit="1" customWidth="1"/>
    <col min="2776" max="2776" width="11.7109375" customWidth="1"/>
    <col min="2777" max="2777" width="10.7109375" customWidth="1"/>
    <col min="2778" max="2778" width="12" customWidth="1"/>
    <col min="2779" max="2779" width="14.85546875" customWidth="1"/>
    <col min="2780" max="2780" width="11.85546875" customWidth="1"/>
    <col min="2781" max="2781" width="10.42578125" customWidth="1"/>
    <col min="2783" max="2783" width="12.85546875" customWidth="1"/>
    <col min="2784" max="2784" width="16.140625" customWidth="1"/>
    <col min="2786" max="2786" width="15.140625" bestFit="1" customWidth="1"/>
    <col min="3030" max="3030" width="68.28515625" customWidth="1"/>
    <col min="3031" max="3031" width="17.85546875" bestFit="1" customWidth="1"/>
    <col min="3032" max="3032" width="11.7109375" customWidth="1"/>
    <col min="3033" max="3033" width="10.7109375" customWidth="1"/>
    <col min="3034" max="3034" width="12" customWidth="1"/>
    <col min="3035" max="3035" width="14.85546875" customWidth="1"/>
    <col min="3036" max="3036" width="11.85546875" customWidth="1"/>
    <col min="3037" max="3037" width="10.42578125" customWidth="1"/>
    <col min="3039" max="3039" width="12.85546875" customWidth="1"/>
    <col min="3040" max="3040" width="16.140625" customWidth="1"/>
    <col min="3042" max="3042" width="15.140625" bestFit="1" customWidth="1"/>
    <col min="3286" max="3286" width="68.28515625" customWidth="1"/>
    <col min="3287" max="3287" width="17.85546875" bestFit="1" customWidth="1"/>
    <col min="3288" max="3288" width="11.7109375" customWidth="1"/>
    <col min="3289" max="3289" width="10.7109375" customWidth="1"/>
    <col min="3290" max="3290" width="12" customWidth="1"/>
    <col min="3291" max="3291" width="14.85546875" customWidth="1"/>
    <col min="3292" max="3292" width="11.85546875" customWidth="1"/>
    <col min="3293" max="3293" width="10.42578125" customWidth="1"/>
    <col min="3295" max="3295" width="12.85546875" customWidth="1"/>
    <col min="3296" max="3296" width="16.140625" customWidth="1"/>
    <col min="3298" max="3298" width="15.140625" bestFit="1" customWidth="1"/>
    <col min="3542" max="3542" width="68.28515625" customWidth="1"/>
    <col min="3543" max="3543" width="17.85546875" bestFit="1" customWidth="1"/>
    <col min="3544" max="3544" width="11.7109375" customWidth="1"/>
    <col min="3545" max="3545" width="10.7109375" customWidth="1"/>
    <col min="3546" max="3546" width="12" customWidth="1"/>
    <col min="3547" max="3547" width="14.85546875" customWidth="1"/>
    <col min="3548" max="3548" width="11.85546875" customWidth="1"/>
    <col min="3549" max="3549" width="10.42578125" customWidth="1"/>
    <col min="3551" max="3551" width="12.85546875" customWidth="1"/>
    <col min="3552" max="3552" width="16.140625" customWidth="1"/>
    <col min="3554" max="3554" width="15.140625" bestFit="1" customWidth="1"/>
    <col min="3798" max="3798" width="68.28515625" customWidth="1"/>
    <col min="3799" max="3799" width="17.85546875" bestFit="1" customWidth="1"/>
    <col min="3800" max="3800" width="11.7109375" customWidth="1"/>
    <col min="3801" max="3801" width="10.7109375" customWidth="1"/>
    <col min="3802" max="3802" width="12" customWidth="1"/>
    <col min="3803" max="3803" width="14.85546875" customWidth="1"/>
    <col min="3804" max="3804" width="11.85546875" customWidth="1"/>
    <col min="3805" max="3805" width="10.42578125" customWidth="1"/>
    <col min="3807" max="3807" width="12.85546875" customWidth="1"/>
    <col min="3808" max="3808" width="16.140625" customWidth="1"/>
    <col min="3810" max="3810" width="15.140625" bestFit="1" customWidth="1"/>
    <col min="4054" max="4054" width="68.28515625" customWidth="1"/>
    <col min="4055" max="4055" width="17.85546875" bestFit="1" customWidth="1"/>
    <col min="4056" max="4056" width="11.7109375" customWidth="1"/>
    <col min="4057" max="4057" width="10.7109375" customWidth="1"/>
    <col min="4058" max="4058" width="12" customWidth="1"/>
    <col min="4059" max="4059" width="14.85546875" customWidth="1"/>
    <col min="4060" max="4060" width="11.85546875" customWidth="1"/>
    <col min="4061" max="4061" width="10.42578125" customWidth="1"/>
    <col min="4063" max="4063" width="12.85546875" customWidth="1"/>
    <col min="4064" max="4064" width="16.140625" customWidth="1"/>
    <col min="4066" max="4066" width="15.140625" bestFit="1" customWidth="1"/>
    <col min="4310" max="4310" width="68.28515625" customWidth="1"/>
    <col min="4311" max="4311" width="17.85546875" bestFit="1" customWidth="1"/>
    <col min="4312" max="4312" width="11.7109375" customWidth="1"/>
    <col min="4313" max="4313" width="10.7109375" customWidth="1"/>
    <col min="4314" max="4314" width="12" customWidth="1"/>
    <col min="4315" max="4315" width="14.85546875" customWidth="1"/>
    <col min="4316" max="4316" width="11.85546875" customWidth="1"/>
    <col min="4317" max="4317" width="10.42578125" customWidth="1"/>
    <col min="4319" max="4319" width="12.85546875" customWidth="1"/>
    <col min="4320" max="4320" width="16.140625" customWidth="1"/>
    <col min="4322" max="4322" width="15.140625" bestFit="1" customWidth="1"/>
    <col min="4566" max="4566" width="68.28515625" customWidth="1"/>
    <col min="4567" max="4567" width="17.85546875" bestFit="1" customWidth="1"/>
    <col min="4568" max="4568" width="11.7109375" customWidth="1"/>
    <col min="4569" max="4569" width="10.7109375" customWidth="1"/>
    <col min="4570" max="4570" width="12" customWidth="1"/>
    <col min="4571" max="4571" width="14.85546875" customWidth="1"/>
    <col min="4572" max="4572" width="11.85546875" customWidth="1"/>
    <col min="4573" max="4573" width="10.42578125" customWidth="1"/>
    <col min="4575" max="4575" width="12.85546875" customWidth="1"/>
    <col min="4576" max="4576" width="16.140625" customWidth="1"/>
    <col min="4578" max="4578" width="15.140625" bestFit="1" customWidth="1"/>
    <col min="4822" max="4822" width="68.28515625" customWidth="1"/>
    <col min="4823" max="4823" width="17.85546875" bestFit="1" customWidth="1"/>
    <col min="4824" max="4824" width="11.7109375" customWidth="1"/>
    <col min="4825" max="4825" width="10.7109375" customWidth="1"/>
    <col min="4826" max="4826" width="12" customWidth="1"/>
    <col min="4827" max="4827" width="14.85546875" customWidth="1"/>
    <col min="4828" max="4828" width="11.85546875" customWidth="1"/>
    <col min="4829" max="4829" width="10.42578125" customWidth="1"/>
    <col min="4831" max="4831" width="12.85546875" customWidth="1"/>
    <col min="4832" max="4832" width="16.140625" customWidth="1"/>
    <col min="4834" max="4834" width="15.140625" bestFit="1" customWidth="1"/>
    <col min="5078" max="5078" width="68.28515625" customWidth="1"/>
    <col min="5079" max="5079" width="17.85546875" bestFit="1" customWidth="1"/>
    <col min="5080" max="5080" width="11.7109375" customWidth="1"/>
    <col min="5081" max="5081" width="10.7109375" customWidth="1"/>
    <col min="5082" max="5082" width="12" customWidth="1"/>
    <col min="5083" max="5083" width="14.85546875" customWidth="1"/>
    <col min="5084" max="5084" width="11.85546875" customWidth="1"/>
    <col min="5085" max="5085" width="10.42578125" customWidth="1"/>
    <col min="5087" max="5087" width="12.85546875" customWidth="1"/>
    <col min="5088" max="5088" width="16.140625" customWidth="1"/>
    <col min="5090" max="5090" width="15.140625" bestFit="1" customWidth="1"/>
    <col min="5334" max="5334" width="68.28515625" customWidth="1"/>
    <col min="5335" max="5335" width="17.85546875" bestFit="1" customWidth="1"/>
    <col min="5336" max="5336" width="11.7109375" customWidth="1"/>
    <col min="5337" max="5337" width="10.7109375" customWidth="1"/>
    <col min="5338" max="5338" width="12" customWidth="1"/>
    <col min="5339" max="5339" width="14.85546875" customWidth="1"/>
    <col min="5340" max="5340" width="11.85546875" customWidth="1"/>
    <col min="5341" max="5341" width="10.42578125" customWidth="1"/>
    <col min="5343" max="5343" width="12.85546875" customWidth="1"/>
    <col min="5344" max="5344" width="16.140625" customWidth="1"/>
    <col min="5346" max="5346" width="15.140625" bestFit="1" customWidth="1"/>
    <col min="5590" max="5590" width="68.28515625" customWidth="1"/>
    <col min="5591" max="5591" width="17.85546875" bestFit="1" customWidth="1"/>
    <col min="5592" max="5592" width="11.7109375" customWidth="1"/>
    <col min="5593" max="5593" width="10.7109375" customWidth="1"/>
    <col min="5594" max="5594" width="12" customWidth="1"/>
    <col min="5595" max="5595" width="14.85546875" customWidth="1"/>
    <col min="5596" max="5596" width="11.85546875" customWidth="1"/>
    <col min="5597" max="5597" width="10.42578125" customWidth="1"/>
    <col min="5599" max="5599" width="12.85546875" customWidth="1"/>
    <col min="5600" max="5600" width="16.140625" customWidth="1"/>
    <col min="5602" max="5602" width="15.140625" bestFit="1" customWidth="1"/>
    <col min="5846" max="5846" width="68.28515625" customWidth="1"/>
    <col min="5847" max="5847" width="17.85546875" bestFit="1" customWidth="1"/>
    <col min="5848" max="5848" width="11.7109375" customWidth="1"/>
    <col min="5849" max="5849" width="10.7109375" customWidth="1"/>
    <col min="5850" max="5850" width="12" customWidth="1"/>
    <col min="5851" max="5851" width="14.85546875" customWidth="1"/>
    <col min="5852" max="5852" width="11.85546875" customWidth="1"/>
    <col min="5853" max="5853" width="10.42578125" customWidth="1"/>
    <col min="5855" max="5855" width="12.85546875" customWidth="1"/>
    <col min="5856" max="5856" width="16.140625" customWidth="1"/>
    <col min="5858" max="5858" width="15.140625" bestFit="1" customWidth="1"/>
    <col min="6102" max="6102" width="68.28515625" customWidth="1"/>
    <col min="6103" max="6103" width="17.85546875" bestFit="1" customWidth="1"/>
    <col min="6104" max="6104" width="11.7109375" customWidth="1"/>
    <col min="6105" max="6105" width="10.7109375" customWidth="1"/>
    <col min="6106" max="6106" width="12" customWidth="1"/>
    <col min="6107" max="6107" width="14.85546875" customWidth="1"/>
    <col min="6108" max="6108" width="11.85546875" customWidth="1"/>
    <col min="6109" max="6109" width="10.42578125" customWidth="1"/>
    <col min="6111" max="6111" width="12.85546875" customWidth="1"/>
    <col min="6112" max="6112" width="16.140625" customWidth="1"/>
    <col min="6114" max="6114" width="15.140625" bestFit="1" customWidth="1"/>
    <col min="6358" max="6358" width="68.28515625" customWidth="1"/>
    <col min="6359" max="6359" width="17.85546875" bestFit="1" customWidth="1"/>
    <col min="6360" max="6360" width="11.7109375" customWidth="1"/>
    <col min="6361" max="6361" width="10.7109375" customWidth="1"/>
    <col min="6362" max="6362" width="12" customWidth="1"/>
    <col min="6363" max="6363" width="14.85546875" customWidth="1"/>
    <col min="6364" max="6364" width="11.85546875" customWidth="1"/>
    <col min="6365" max="6365" width="10.42578125" customWidth="1"/>
    <col min="6367" max="6367" width="12.85546875" customWidth="1"/>
    <col min="6368" max="6368" width="16.140625" customWidth="1"/>
    <col min="6370" max="6370" width="15.140625" bestFit="1" customWidth="1"/>
    <col min="6614" max="6614" width="68.28515625" customWidth="1"/>
    <col min="6615" max="6615" width="17.85546875" bestFit="1" customWidth="1"/>
    <col min="6616" max="6616" width="11.7109375" customWidth="1"/>
    <col min="6617" max="6617" width="10.7109375" customWidth="1"/>
    <col min="6618" max="6618" width="12" customWidth="1"/>
    <col min="6619" max="6619" width="14.85546875" customWidth="1"/>
    <col min="6620" max="6620" width="11.85546875" customWidth="1"/>
    <col min="6621" max="6621" width="10.42578125" customWidth="1"/>
    <col min="6623" max="6623" width="12.85546875" customWidth="1"/>
    <col min="6624" max="6624" width="16.140625" customWidth="1"/>
    <col min="6626" max="6626" width="15.140625" bestFit="1" customWidth="1"/>
    <col min="6870" max="6870" width="68.28515625" customWidth="1"/>
    <col min="6871" max="6871" width="17.85546875" bestFit="1" customWidth="1"/>
    <col min="6872" max="6872" width="11.7109375" customWidth="1"/>
    <col min="6873" max="6873" width="10.7109375" customWidth="1"/>
    <col min="6874" max="6874" width="12" customWidth="1"/>
    <col min="6875" max="6875" width="14.85546875" customWidth="1"/>
    <col min="6876" max="6876" width="11.85546875" customWidth="1"/>
    <col min="6877" max="6877" width="10.42578125" customWidth="1"/>
    <col min="6879" max="6879" width="12.85546875" customWidth="1"/>
    <col min="6880" max="6880" width="16.140625" customWidth="1"/>
    <col min="6882" max="6882" width="15.140625" bestFit="1" customWidth="1"/>
    <col min="7126" max="7126" width="68.28515625" customWidth="1"/>
    <col min="7127" max="7127" width="17.85546875" bestFit="1" customWidth="1"/>
    <col min="7128" max="7128" width="11.7109375" customWidth="1"/>
    <col min="7129" max="7129" width="10.7109375" customWidth="1"/>
    <col min="7130" max="7130" width="12" customWidth="1"/>
    <col min="7131" max="7131" width="14.85546875" customWidth="1"/>
    <col min="7132" max="7132" width="11.85546875" customWidth="1"/>
    <col min="7133" max="7133" width="10.42578125" customWidth="1"/>
    <col min="7135" max="7135" width="12.85546875" customWidth="1"/>
    <col min="7136" max="7136" width="16.140625" customWidth="1"/>
    <col min="7138" max="7138" width="15.140625" bestFit="1" customWidth="1"/>
    <col min="7382" max="7382" width="68.28515625" customWidth="1"/>
    <col min="7383" max="7383" width="17.85546875" bestFit="1" customWidth="1"/>
    <col min="7384" max="7384" width="11.7109375" customWidth="1"/>
    <col min="7385" max="7385" width="10.7109375" customWidth="1"/>
    <col min="7386" max="7386" width="12" customWidth="1"/>
    <col min="7387" max="7387" width="14.85546875" customWidth="1"/>
    <col min="7388" max="7388" width="11.85546875" customWidth="1"/>
    <col min="7389" max="7389" width="10.42578125" customWidth="1"/>
    <col min="7391" max="7391" width="12.85546875" customWidth="1"/>
    <col min="7392" max="7392" width="16.140625" customWidth="1"/>
    <col min="7394" max="7394" width="15.140625" bestFit="1" customWidth="1"/>
    <col min="7638" max="7638" width="68.28515625" customWidth="1"/>
    <col min="7639" max="7639" width="17.85546875" bestFit="1" customWidth="1"/>
    <col min="7640" max="7640" width="11.7109375" customWidth="1"/>
    <col min="7641" max="7641" width="10.7109375" customWidth="1"/>
    <col min="7642" max="7642" width="12" customWidth="1"/>
    <col min="7643" max="7643" width="14.85546875" customWidth="1"/>
    <col min="7644" max="7644" width="11.85546875" customWidth="1"/>
    <col min="7645" max="7645" width="10.42578125" customWidth="1"/>
    <col min="7647" max="7647" width="12.85546875" customWidth="1"/>
    <col min="7648" max="7648" width="16.140625" customWidth="1"/>
    <col min="7650" max="7650" width="15.140625" bestFit="1" customWidth="1"/>
    <col min="7894" max="7894" width="68.28515625" customWidth="1"/>
    <col min="7895" max="7895" width="17.85546875" bestFit="1" customWidth="1"/>
    <col min="7896" max="7896" width="11.7109375" customWidth="1"/>
    <col min="7897" max="7897" width="10.7109375" customWidth="1"/>
    <col min="7898" max="7898" width="12" customWidth="1"/>
    <col min="7899" max="7899" width="14.85546875" customWidth="1"/>
    <col min="7900" max="7900" width="11.85546875" customWidth="1"/>
    <col min="7901" max="7901" width="10.42578125" customWidth="1"/>
    <col min="7903" max="7903" width="12.85546875" customWidth="1"/>
    <col min="7904" max="7904" width="16.140625" customWidth="1"/>
    <col min="7906" max="7906" width="15.140625" bestFit="1" customWidth="1"/>
    <col min="8150" max="8150" width="68.28515625" customWidth="1"/>
    <col min="8151" max="8151" width="17.85546875" bestFit="1" customWidth="1"/>
    <col min="8152" max="8152" width="11.7109375" customWidth="1"/>
    <col min="8153" max="8153" width="10.7109375" customWidth="1"/>
    <col min="8154" max="8154" width="12" customWidth="1"/>
    <col min="8155" max="8155" width="14.85546875" customWidth="1"/>
    <col min="8156" max="8156" width="11.85546875" customWidth="1"/>
    <col min="8157" max="8157" width="10.42578125" customWidth="1"/>
    <col min="8159" max="8159" width="12.85546875" customWidth="1"/>
    <col min="8160" max="8160" width="16.140625" customWidth="1"/>
    <col min="8162" max="8162" width="15.140625" bestFit="1" customWidth="1"/>
    <col min="8406" max="8406" width="68.28515625" customWidth="1"/>
    <col min="8407" max="8407" width="17.85546875" bestFit="1" customWidth="1"/>
    <col min="8408" max="8408" width="11.7109375" customWidth="1"/>
    <col min="8409" max="8409" width="10.7109375" customWidth="1"/>
    <col min="8410" max="8410" width="12" customWidth="1"/>
    <col min="8411" max="8411" width="14.85546875" customWidth="1"/>
    <col min="8412" max="8412" width="11.85546875" customWidth="1"/>
    <col min="8413" max="8413" width="10.42578125" customWidth="1"/>
    <col min="8415" max="8415" width="12.85546875" customWidth="1"/>
    <col min="8416" max="8416" width="16.140625" customWidth="1"/>
    <col min="8418" max="8418" width="15.140625" bestFit="1" customWidth="1"/>
    <col min="8662" max="8662" width="68.28515625" customWidth="1"/>
    <col min="8663" max="8663" width="17.85546875" bestFit="1" customWidth="1"/>
    <col min="8664" max="8664" width="11.7109375" customWidth="1"/>
    <col min="8665" max="8665" width="10.7109375" customWidth="1"/>
    <col min="8666" max="8666" width="12" customWidth="1"/>
    <col min="8667" max="8667" width="14.85546875" customWidth="1"/>
    <col min="8668" max="8668" width="11.85546875" customWidth="1"/>
    <col min="8669" max="8669" width="10.42578125" customWidth="1"/>
    <col min="8671" max="8671" width="12.85546875" customWidth="1"/>
    <col min="8672" max="8672" width="16.140625" customWidth="1"/>
    <col min="8674" max="8674" width="15.140625" bestFit="1" customWidth="1"/>
    <col min="8918" max="8918" width="68.28515625" customWidth="1"/>
    <col min="8919" max="8919" width="17.85546875" bestFit="1" customWidth="1"/>
    <col min="8920" max="8920" width="11.7109375" customWidth="1"/>
    <col min="8921" max="8921" width="10.7109375" customWidth="1"/>
    <col min="8922" max="8922" width="12" customWidth="1"/>
    <col min="8923" max="8923" width="14.85546875" customWidth="1"/>
    <col min="8924" max="8924" width="11.85546875" customWidth="1"/>
    <col min="8925" max="8925" width="10.42578125" customWidth="1"/>
    <col min="8927" max="8927" width="12.85546875" customWidth="1"/>
    <col min="8928" max="8928" width="16.140625" customWidth="1"/>
    <col min="8930" max="8930" width="15.140625" bestFit="1" customWidth="1"/>
    <col min="9174" max="9174" width="68.28515625" customWidth="1"/>
    <col min="9175" max="9175" width="17.85546875" bestFit="1" customWidth="1"/>
    <col min="9176" max="9176" width="11.7109375" customWidth="1"/>
    <col min="9177" max="9177" width="10.7109375" customWidth="1"/>
    <col min="9178" max="9178" width="12" customWidth="1"/>
    <col min="9179" max="9179" width="14.85546875" customWidth="1"/>
    <col min="9180" max="9180" width="11.85546875" customWidth="1"/>
    <col min="9181" max="9181" width="10.42578125" customWidth="1"/>
    <col min="9183" max="9183" width="12.85546875" customWidth="1"/>
    <col min="9184" max="9184" width="16.140625" customWidth="1"/>
    <col min="9186" max="9186" width="15.140625" bestFit="1" customWidth="1"/>
    <col min="9430" max="9430" width="68.28515625" customWidth="1"/>
    <col min="9431" max="9431" width="17.85546875" bestFit="1" customWidth="1"/>
    <col min="9432" max="9432" width="11.7109375" customWidth="1"/>
    <col min="9433" max="9433" width="10.7109375" customWidth="1"/>
    <col min="9434" max="9434" width="12" customWidth="1"/>
    <col min="9435" max="9435" width="14.85546875" customWidth="1"/>
    <col min="9436" max="9436" width="11.85546875" customWidth="1"/>
    <col min="9437" max="9437" width="10.42578125" customWidth="1"/>
    <col min="9439" max="9439" width="12.85546875" customWidth="1"/>
    <col min="9440" max="9440" width="16.140625" customWidth="1"/>
    <col min="9442" max="9442" width="15.140625" bestFit="1" customWidth="1"/>
    <col min="9686" max="9686" width="68.28515625" customWidth="1"/>
    <col min="9687" max="9687" width="17.85546875" bestFit="1" customWidth="1"/>
    <col min="9688" max="9688" width="11.7109375" customWidth="1"/>
    <col min="9689" max="9689" width="10.7109375" customWidth="1"/>
    <col min="9690" max="9690" width="12" customWidth="1"/>
    <col min="9691" max="9691" width="14.85546875" customWidth="1"/>
    <col min="9692" max="9692" width="11.85546875" customWidth="1"/>
    <col min="9693" max="9693" width="10.42578125" customWidth="1"/>
    <col min="9695" max="9695" width="12.85546875" customWidth="1"/>
    <col min="9696" max="9696" width="16.140625" customWidth="1"/>
    <col min="9698" max="9698" width="15.140625" bestFit="1" customWidth="1"/>
    <col min="9942" max="9942" width="68.28515625" customWidth="1"/>
    <col min="9943" max="9943" width="17.85546875" bestFit="1" customWidth="1"/>
    <col min="9944" max="9944" width="11.7109375" customWidth="1"/>
    <col min="9945" max="9945" width="10.7109375" customWidth="1"/>
    <col min="9946" max="9946" width="12" customWidth="1"/>
    <col min="9947" max="9947" width="14.85546875" customWidth="1"/>
    <col min="9948" max="9948" width="11.85546875" customWidth="1"/>
    <col min="9949" max="9949" width="10.42578125" customWidth="1"/>
    <col min="9951" max="9951" width="12.85546875" customWidth="1"/>
    <col min="9952" max="9952" width="16.140625" customWidth="1"/>
    <col min="9954" max="9954" width="15.140625" bestFit="1" customWidth="1"/>
    <col min="10198" max="10198" width="68.28515625" customWidth="1"/>
    <col min="10199" max="10199" width="17.85546875" bestFit="1" customWidth="1"/>
    <col min="10200" max="10200" width="11.7109375" customWidth="1"/>
    <col min="10201" max="10201" width="10.7109375" customWidth="1"/>
    <col min="10202" max="10202" width="12" customWidth="1"/>
    <col min="10203" max="10203" width="14.85546875" customWidth="1"/>
    <col min="10204" max="10204" width="11.85546875" customWidth="1"/>
    <col min="10205" max="10205" width="10.42578125" customWidth="1"/>
    <col min="10207" max="10207" width="12.85546875" customWidth="1"/>
    <col min="10208" max="10208" width="16.140625" customWidth="1"/>
    <col min="10210" max="10210" width="15.140625" bestFit="1" customWidth="1"/>
    <col min="10454" max="10454" width="68.28515625" customWidth="1"/>
    <col min="10455" max="10455" width="17.85546875" bestFit="1" customWidth="1"/>
    <col min="10456" max="10456" width="11.7109375" customWidth="1"/>
    <col min="10457" max="10457" width="10.7109375" customWidth="1"/>
    <col min="10458" max="10458" width="12" customWidth="1"/>
    <col min="10459" max="10459" width="14.85546875" customWidth="1"/>
    <col min="10460" max="10460" width="11.85546875" customWidth="1"/>
    <col min="10461" max="10461" width="10.42578125" customWidth="1"/>
    <col min="10463" max="10463" width="12.85546875" customWidth="1"/>
    <col min="10464" max="10464" width="16.140625" customWidth="1"/>
    <col min="10466" max="10466" width="15.140625" bestFit="1" customWidth="1"/>
    <col min="10710" max="10710" width="68.28515625" customWidth="1"/>
    <col min="10711" max="10711" width="17.85546875" bestFit="1" customWidth="1"/>
    <col min="10712" max="10712" width="11.7109375" customWidth="1"/>
    <col min="10713" max="10713" width="10.7109375" customWidth="1"/>
    <col min="10714" max="10714" width="12" customWidth="1"/>
    <col min="10715" max="10715" width="14.85546875" customWidth="1"/>
    <col min="10716" max="10716" width="11.85546875" customWidth="1"/>
    <col min="10717" max="10717" width="10.42578125" customWidth="1"/>
    <col min="10719" max="10719" width="12.85546875" customWidth="1"/>
    <col min="10720" max="10720" width="16.140625" customWidth="1"/>
    <col min="10722" max="10722" width="15.140625" bestFit="1" customWidth="1"/>
    <col min="10966" max="10966" width="68.28515625" customWidth="1"/>
    <col min="10967" max="10967" width="17.85546875" bestFit="1" customWidth="1"/>
    <col min="10968" max="10968" width="11.7109375" customWidth="1"/>
    <col min="10969" max="10969" width="10.7109375" customWidth="1"/>
    <col min="10970" max="10970" width="12" customWidth="1"/>
    <col min="10971" max="10971" width="14.85546875" customWidth="1"/>
    <col min="10972" max="10972" width="11.85546875" customWidth="1"/>
    <col min="10973" max="10973" width="10.42578125" customWidth="1"/>
    <col min="10975" max="10975" width="12.85546875" customWidth="1"/>
    <col min="10976" max="10976" width="16.140625" customWidth="1"/>
    <col min="10978" max="10978" width="15.140625" bestFit="1" customWidth="1"/>
    <col min="11222" max="11222" width="68.28515625" customWidth="1"/>
    <col min="11223" max="11223" width="17.85546875" bestFit="1" customWidth="1"/>
    <col min="11224" max="11224" width="11.7109375" customWidth="1"/>
    <col min="11225" max="11225" width="10.7109375" customWidth="1"/>
    <col min="11226" max="11226" width="12" customWidth="1"/>
    <col min="11227" max="11227" width="14.85546875" customWidth="1"/>
    <col min="11228" max="11228" width="11.85546875" customWidth="1"/>
    <col min="11229" max="11229" width="10.42578125" customWidth="1"/>
    <col min="11231" max="11231" width="12.85546875" customWidth="1"/>
    <col min="11232" max="11232" width="16.140625" customWidth="1"/>
    <col min="11234" max="11234" width="15.140625" bestFit="1" customWidth="1"/>
    <col min="11478" max="11478" width="68.28515625" customWidth="1"/>
    <col min="11479" max="11479" width="17.85546875" bestFit="1" customWidth="1"/>
    <col min="11480" max="11480" width="11.7109375" customWidth="1"/>
    <col min="11481" max="11481" width="10.7109375" customWidth="1"/>
    <col min="11482" max="11482" width="12" customWidth="1"/>
    <col min="11483" max="11483" width="14.85546875" customWidth="1"/>
    <col min="11484" max="11484" width="11.85546875" customWidth="1"/>
    <col min="11485" max="11485" width="10.42578125" customWidth="1"/>
    <col min="11487" max="11487" width="12.85546875" customWidth="1"/>
    <col min="11488" max="11488" width="16.140625" customWidth="1"/>
    <col min="11490" max="11490" width="15.140625" bestFit="1" customWidth="1"/>
    <col min="11734" max="11734" width="68.28515625" customWidth="1"/>
    <col min="11735" max="11735" width="17.85546875" bestFit="1" customWidth="1"/>
    <col min="11736" max="11736" width="11.7109375" customWidth="1"/>
    <col min="11737" max="11737" width="10.7109375" customWidth="1"/>
    <col min="11738" max="11738" width="12" customWidth="1"/>
    <col min="11739" max="11739" width="14.85546875" customWidth="1"/>
    <col min="11740" max="11740" width="11.85546875" customWidth="1"/>
    <col min="11741" max="11741" width="10.42578125" customWidth="1"/>
    <col min="11743" max="11743" width="12.85546875" customWidth="1"/>
    <col min="11744" max="11744" width="16.140625" customWidth="1"/>
    <col min="11746" max="11746" width="15.140625" bestFit="1" customWidth="1"/>
    <col min="11990" max="11990" width="68.28515625" customWidth="1"/>
    <col min="11991" max="11991" width="17.85546875" bestFit="1" customWidth="1"/>
    <col min="11992" max="11992" width="11.7109375" customWidth="1"/>
    <col min="11993" max="11993" width="10.7109375" customWidth="1"/>
    <col min="11994" max="11994" width="12" customWidth="1"/>
    <col min="11995" max="11995" width="14.85546875" customWidth="1"/>
    <col min="11996" max="11996" width="11.85546875" customWidth="1"/>
    <col min="11997" max="11997" width="10.42578125" customWidth="1"/>
    <col min="11999" max="11999" width="12.85546875" customWidth="1"/>
    <col min="12000" max="12000" width="16.140625" customWidth="1"/>
    <col min="12002" max="12002" width="15.140625" bestFit="1" customWidth="1"/>
    <col min="12246" max="12246" width="68.28515625" customWidth="1"/>
    <col min="12247" max="12247" width="17.85546875" bestFit="1" customWidth="1"/>
    <col min="12248" max="12248" width="11.7109375" customWidth="1"/>
    <col min="12249" max="12249" width="10.7109375" customWidth="1"/>
    <col min="12250" max="12250" width="12" customWidth="1"/>
    <col min="12251" max="12251" width="14.85546875" customWidth="1"/>
    <col min="12252" max="12252" width="11.85546875" customWidth="1"/>
    <col min="12253" max="12253" width="10.42578125" customWidth="1"/>
    <col min="12255" max="12255" width="12.85546875" customWidth="1"/>
    <col min="12256" max="12256" width="16.140625" customWidth="1"/>
    <col min="12258" max="12258" width="15.140625" bestFit="1" customWidth="1"/>
    <col min="12502" max="12502" width="68.28515625" customWidth="1"/>
    <col min="12503" max="12503" width="17.85546875" bestFit="1" customWidth="1"/>
    <col min="12504" max="12504" width="11.7109375" customWidth="1"/>
    <col min="12505" max="12505" width="10.7109375" customWidth="1"/>
    <col min="12506" max="12506" width="12" customWidth="1"/>
    <col min="12507" max="12507" width="14.85546875" customWidth="1"/>
    <col min="12508" max="12508" width="11.85546875" customWidth="1"/>
    <col min="12509" max="12509" width="10.42578125" customWidth="1"/>
    <col min="12511" max="12511" width="12.85546875" customWidth="1"/>
    <col min="12512" max="12512" width="16.140625" customWidth="1"/>
    <col min="12514" max="12514" width="15.140625" bestFit="1" customWidth="1"/>
    <col min="12758" max="12758" width="68.28515625" customWidth="1"/>
    <col min="12759" max="12759" width="17.85546875" bestFit="1" customWidth="1"/>
    <col min="12760" max="12760" width="11.7109375" customWidth="1"/>
    <col min="12761" max="12761" width="10.7109375" customWidth="1"/>
    <col min="12762" max="12762" width="12" customWidth="1"/>
    <col min="12763" max="12763" width="14.85546875" customWidth="1"/>
    <col min="12764" max="12764" width="11.85546875" customWidth="1"/>
    <col min="12765" max="12765" width="10.42578125" customWidth="1"/>
    <col min="12767" max="12767" width="12.85546875" customWidth="1"/>
    <col min="12768" max="12768" width="16.140625" customWidth="1"/>
    <col min="12770" max="12770" width="15.140625" bestFit="1" customWidth="1"/>
    <col min="13014" max="13014" width="68.28515625" customWidth="1"/>
    <col min="13015" max="13015" width="17.85546875" bestFit="1" customWidth="1"/>
    <col min="13016" max="13016" width="11.7109375" customWidth="1"/>
    <col min="13017" max="13017" width="10.7109375" customWidth="1"/>
    <col min="13018" max="13018" width="12" customWidth="1"/>
    <col min="13019" max="13019" width="14.85546875" customWidth="1"/>
    <col min="13020" max="13020" width="11.85546875" customWidth="1"/>
    <col min="13021" max="13021" width="10.42578125" customWidth="1"/>
    <col min="13023" max="13023" width="12.85546875" customWidth="1"/>
    <col min="13024" max="13024" width="16.140625" customWidth="1"/>
    <col min="13026" max="13026" width="15.140625" bestFit="1" customWidth="1"/>
    <col min="13270" max="13270" width="68.28515625" customWidth="1"/>
    <col min="13271" max="13271" width="17.85546875" bestFit="1" customWidth="1"/>
    <col min="13272" max="13272" width="11.7109375" customWidth="1"/>
    <col min="13273" max="13273" width="10.7109375" customWidth="1"/>
    <col min="13274" max="13274" width="12" customWidth="1"/>
    <col min="13275" max="13275" width="14.85546875" customWidth="1"/>
    <col min="13276" max="13276" width="11.85546875" customWidth="1"/>
    <col min="13277" max="13277" width="10.42578125" customWidth="1"/>
    <col min="13279" max="13279" width="12.85546875" customWidth="1"/>
    <col min="13280" max="13280" width="16.140625" customWidth="1"/>
    <col min="13282" max="13282" width="15.140625" bestFit="1" customWidth="1"/>
    <col min="13526" max="13526" width="68.28515625" customWidth="1"/>
    <col min="13527" max="13527" width="17.85546875" bestFit="1" customWidth="1"/>
    <col min="13528" max="13528" width="11.7109375" customWidth="1"/>
    <col min="13529" max="13529" width="10.7109375" customWidth="1"/>
    <col min="13530" max="13530" width="12" customWidth="1"/>
    <col min="13531" max="13531" width="14.85546875" customWidth="1"/>
    <col min="13532" max="13532" width="11.85546875" customWidth="1"/>
    <col min="13533" max="13533" width="10.42578125" customWidth="1"/>
    <col min="13535" max="13535" width="12.85546875" customWidth="1"/>
    <col min="13536" max="13536" width="16.140625" customWidth="1"/>
    <col min="13538" max="13538" width="15.140625" bestFit="1" customWidth="1"/>
    <col min="13782" max="13782" width="68.28515625" customWidth="1"/>
    <col min="13783" max="13783" width="17.85546875" bestFit="1" customWidth="1"/>
    <col min="13784" max="13784" width="11.7109375" customWidth="1"/>
    <col min="13785" max="13785" width="10.7109375" customWidth="1"/>
    <col min="13786" max="13786" width="12" customWidth="1"/>
    <col min="13787" max="13787" width="14.85546875" customWidth="1"/>
    <col min="13788" max="13788" width="11.85546875" customWidth="1"/>
    <col min="13789" max="13789" width="10.42578125" customWidth="1"/>
    <col min="13791" max="13791" width="12.85546875" customWidth="1"/>
    <col min="13792" max="13792" width="16.140625" customWidth="1"/>
    <col min="13794" max="13794" width="15.140625" bestFit="1" customWidth="1"/>
    <col min="14038" max="14038" width="68.28515625" customWidth="1"/>
    <col min="14039" max="14039" width="17.85546875" bestFit="1" customWidth="1"/>
    <col min="14040" max="14040" width="11.7109375" customWidth="1"/>
    <col min="14041" max="14041" width="10.7109375" customWidth="1"/>
    <col min="14042" max="14042" width="12" customWidth="1"/>
    <col min="14043" max="14043" width="14.85546875" customWidth="1"/>
    <col min="14044" max="14044" width="11.85546875" customWidth="1"/>
    <col min="14045" max="14045" width="10.42578125" customWidth="1"/>
    <col min="14047" max="14047" width="12.85546875" customWidth="1"/>
    <col min="14048" max="14048" width="16.140625" customWidth="1"/>
    <col min="14050" max="14050" width="15.140625" bestFit="1" customWidth="1"/>
    <col min="14294" max="14294" width="68.28515625" customWidth="1"/>
    <col min="14295" max="14295" width="17.85546875" bestFit="1" customWidth="1"/>
    <col min="14296" max="14296" width="11.7109375" customWidth="1"/>
    <col min="14297" max="14297" width="10.7109375" customWidth="1"/>
    <col min="14298" max="14298" width="12" customWidth="1"/>
    <col min="14299" max="14299" width="14.85546875" customWidth="1"/>
    <col min="14300" max="14300" width="11.85546875" customWidth="1"/>
    <col min="14301" max="14301" width="10.42578125" customWidth="1"/>
    <col min="14303" max="14303" width="12.85546875" customWidth="1"/>
    <col min="14304" max="14304" width="16.140625" customWidth="1"/>
    <col min="14306" max="14306" width="15.140625" bestFit="1" customWidth="1"/>
    <col min="14550" max="14550" width="68.28515625" customWidth="1"/>
    <col min="14551" max="14551" width="17.85546875" bestFit="1" customWidth="1"/>
    <col min="14552" max="14552" width="11.7109375" customWidth="1"/>
    <col min="14553" max="14553" width="10.7109375" customWidth="1"/>
    <col min="14554" max="14554" width="12" customWidth="1"/>
    <col min="14555" max="14555" width="14.85546875" customWidth="1"/>
    <col min="14556" max="14556" width="11.85546875" customWidth="1"/>
    <col min="14557" max="14557" width="10.42578125" customWidth="1"/>
    <col min="14559" max="14559" width="12.85546875" customWidth="1"/>
    <col min="14560" max="14560" width="16.140625" customWidth="1"/>
    <col min="14562" max="14562" width="15.140625" bestFit="1" customWidth="1"/>
    <col min="14806" max="14806" width="68.28515625" customWidth="1"/>
    <col min="14807" max="14807" width="17.85546875" bestFit="1" customWidth="1"/>
    <col min="14808" max="14808" width="11.7109375" customWidth="1"/>
    <col min="14809" max="14809" width="10.7109375" customWidth="1"/>
    <col min="14810" max="14810" width="12" customWidth="1"/>
    <col min="14811" max="14811" width="14.85546875" customWidth="1"/>
    <col min="14812" max="14812" width="11.85546875" customWidth="1"/>
    <col min="14813" max="14813" width="10.42578125" customWidth="1"/>
    <col min="14815" max="14815" width="12.85546875" customWidth="1"/>
    <col min="14816" max="14816" width="16.140625" customWidth="1"/>
    <col min="14818" max="14818" width="15.140625" bestFit="1" customWidth="1"/>
    <col min="15062" max="15062" width="68.28515625" customWidth="1"/>
    <col min="15063" max="15063" width="17.85546875" bestFit="1" customWidth="1"/>
    <col min="15064" max="15064" width="11.7109375" customWidth="1"/>
    <col min="15065" max="15065" width="10.7109375" customWidth="1"/>
    <col min="15066" max="15066" width="12" customWidth="1"/>
    <col min="15067" max="15067" width="14.85546875" customWidth="1"/>
    <col min="15068" max="15068" width="11.85546875" customWidth="1"/>
    <col min="15069" max="15069" width="10.42578125" customWidth="1"/>
    <col min="15071" max="15071" width="12.85546875" customWidth="1"/>
    <col min="15072" max="15072" width="16.140625" customWidth="1"/>
    <col min="15074" max="15074" width="15.140625" bestFit="1" customWidth="1"/>
    <col min="15318" max="15318" width="68.28515625" customWidth="1"/>
    <col min="15319" max="15319" width="17.85546875" bestFit="1" customWidth="1"/>
    <col min="15320" max="15320" width="11.7109375" customWidth="1"/>
    <col min="15321" max="15321" width="10.7109375" customWidth="1"/>
    <col min="15322" max="15322" width="12" customWidth="1"/>
    <col min="15323" max="15323" width="14.85546875" customWidth="1"/>
    <col min="15324" max="15324" width="11.85546875" customWidth="1"/>
    <col min="15325" max="15325" width="10.42578125" customWidth="1"/>
    <col min="15327" max="15327" width="12.85546875" customWidth="1"/>
    <col min="15328" max="15328" width="16.140625" customWidth="1"/>
    <col min="15330" max="15330" width="15.140625" bestFit="1" customWidth="1"/>
    <col min="15574" max="15574" width="68.28515625" customWidth="1"/>
    <col min="15575" max="15575" width="17.85546875" bestFit="1" customWidth="1"/>
    <col min="15576" max="15576" width="11.7109375" customWidth="1"/>
    <col min="15577" max="15577" width="10.7109375" customWidth="1"/>
    <col min="15578" max="15578" width="12" customWidth="1"/>
    <col min="15579" max="15579" width="14.85546875" customWidth="1"/>
    <col min="15580" max="15580" width="11.85546875" customWidth="1"/>
    <col min="15581" max="15581" width="10.42578125" customWidth="1"/>
    <col min="15583" max="15583" width="12.85546875" customWidth="1"/>
    <col min="15584" max="15584" width="16.140625" customWidth="1"/>
    <col min="15586" max="15586" width="15.140625" bestFit="1" customWidth="1"/>
    <col min="15830" max="15830" width="68.28515625" customWidth="1"/>
    <col min="15831" max="15831" width="17.85546875" bestFit="1" customWidth="1"/>
    <col min="15832" max="15832" width="11.7109375" customWidth="1"/>
    <col min="15833" max="15833" width="10.7109375" customWidth="1"/>
    <col min="15834" max="15834" width="12" customWidth="1"/>
    <col min="15835" max="15835" width="14.85546875" customWidth="1"/>
    <col min="15836" max="15836" width="11.85546875" customWidth="1"/>
    <col min="15837" max="15837" width="10.42578125" customWidth="1"/>
    <col min="15839" max="15839" width="12.85546875" customWidth="1"/>
    <col min="15840" max="15840" width="16.140625" customWidth="1"/>
    <col min="15842" max="15842" width="15.140625" bestFit="1" customWidth="1"/>
    <col min="16086" max="16086" width="68.28515625" customWidth="1"/>
    <col min="16087" max="16087" width="17.85546875" bestFit="1" customWidth="1"/>
    <col min="16088" max="16088" width="11.7109375" customWidth="1"/>
    <col min="16089" max="16089" width="10.7109375" customWidth="1"/>
    <col min="16090" max="16090" width="12" customWidth="1"/>
    <col min="16091" max="16091" width="14.85546875" customWidth="1"/>
    <col min="16092" max="16092" width="11.85546875" customWidth="1"/>
    <col min="16093" max="16093" width="10.42578125" customWidth="1"/>
    <col min="16095" max="16095" width="12.85546875" customWidth="1"/>
    <col min="16096" max="16096" width="16.140625" customWidth="1"/>
    <col min="16098" max="16098" width="15.140625" bestFit="1" customWidth="1"/>
  </cols>
  <sheetData>
    <row r="2" spans="1:26" x14ac:dyDescent="0.25">
      <c r="C2" s="87" t="s">
        <v>30</v>
      </c>
    </row>
    <row r="4" spans="1:26" ht="30" x14ac:dyDescent="0.25">
      <c r="A4" s="89" t="s">
        <v>4</v>
      </c>
      <c r="B4" s="145" t="s">
        <v>163</v>
      </c>
      <c r="C4" s="48" t="s">
        <v>125</v>
      </c>
      <c r="D4" s="86" t="s">
        <v>164</v>
      </c>
      <c r="E4" s="101" t="s">
        <v>171</v>
      </c>
      <c r="F4" s="86" t="s">
        <v>164</v>
      </c>
      <c r="G4" s="181"/>
      <c r="J4" s="92"/>
      <c r="K4" s="92"/>
      <c r="L4" s="92"/>
      <c r="M4" s="92"/>
      <c r="N4" s="173" t="s">
        <v>224</v>
      </c>
      <c r="O4" s="92"/>
      <c r="P4" s="92"/>
      <c r="Q4" s="161" t="s">
        <v>225</v>
      </c>
      <c r="S4" t="s">
        <v>226</v>
      </c>
      <c r="T4" t="s">
        <v>227</v>
      </c>
      <c r="X4" s="2"/>
      <c r="Z4" s="2"/>
    </row>
    <row r="5" spans="1:26" ht="30" x14ac:dyDescent="0.25">
      <c r="A5" s="89">
        <v>1</v>
      </c>
      <c r="B5" s="145" t="s">
        <v>161</v>
      </c>
      <c r="C5" s="48" t="s">
        <v>2</v>
      </c>
      <c r="D5" s="94">
        <v>100000</v>
      </c>
      <c r="E5" s="14">
        <v>100000</v>
      </c>
      <c r="F5" s="15">
        <f>D5</f>
        <v>100000</v>
      </c>
      <c r="G5" s="182">
        <f>F5</f>
        <v>100000</v>
      </c>
      <c r="H5" s="20"/>
      <c r="I5" s="20"/>
      <c r="J5" s="92">
        <f>F5+F5*5/100</f>
        <v>105000</v>
      </c>
      <c r="K5" s="92">
        <f>J5/J16*100</f>
        <v>9.7751710654936463</v>
      </c>
      <c r="L5" s="92">
        <f>J27*K5/100</f>
        <v>9177.9081133919844</v>
      </c>
      <c r="M5" s="92">
        <f>J5+L5</f>
        <v>114177.90811339198</v>
      </c>
      <c r="N5" s="173">
        <v>105700</v>
      </c>
      <c r="O5" s="92">
        <f>N5-F5</f>
        <v>5700</v>
      </c>
      <c r="P5" s="92">
        <f>O5/F5*100</f>
        <v>5.7</v>
      </c>
      <c r="Q5" s="161">
        <v>106000</v>
      </c>
      <c r="S5" s="2">
        <f>Q5-F5</f>
        <v>6000</v>
      </c>
      <c r="T5">
        <f>S5/F5*100</f>
        <v>6</v>
      </c>
      <c r="U5">
        <v>5.8999999999999995</v>
      </c>
    </row>
    <row r="6" spans="1:26" x14ac:dyDescent="0.25">
      <c r="A6" s="89">
        <v>2</v>
      </c>
      <c r="B6" s="145" t="s">
        <v>161</v>
      </c>
      <c r="C6" s="48" t="s">
        <v>146</v>
      </c>
      <c r="D6" s="94">
        <v>60000</v>
      </c>
      <c r="E6" s="14">
        <v>65000</v>
      </c>
      <c r="F6" s="15">
        <v>73000</v>
      </c>
      <c r="G6" s="182">
        <f>I6</f>
        <v>43000</v>
      </c>
      <c r="H6" s="1">
        <v>30000</v>
      </c>
      <c r="I6" s="98">
        <v>43000</v>
      </c>
      <c r="J6" s="92">
        <f>I6+I6*5/100</f>
        <v>45150</v>
      </c>
      <c r="K6" s="92">
        <f>J6/J16*100</f>
        <v>4.2033235581622677</v>
      </c>
      <c r="L6" s="92">
        <f>J27*K6/100</f>
        <v>3946.5004887585528</v>
      </c>
      <c r="M6" s="92">
        <f t="shared" ref="M6:M14" si="0">J6+L6</f>
        <v>49096.500488758553</v>
      </c>
      <c r="N6" s="173">
        <v>45400</v>
      </c>
      <c r="O6" s="92">
        <f>N6-I6</f>
        <v>2400</v>
      </c>
      <c r="P6" s="92">
        <f>O6/I6*100</f>
        <v>5.5813953488372094</v>
      </c>
      <c r="Q6" s="161">
        <v>45100</v>
      </c>
      <c r="S6" s="180">
        <f>Q6-I6</f>
        <v>2100</v>
      </c>
      <c r="T6">
        <f>S6/I6*100</f>
        <v>4.8837209302325579</v>
      </c>
      <c r="U6">
        <v>4.6511627906976747</v>
      </c>
      <c r="W6" s="98"/>
      <c r="Y6" s="180"/>
      <c r="Z6" s="2"/>
    </row>
    <row r="7" spans="1:26" ht="30" x14ac:dyDescent="0.25">
      <c r="A7" s="89">
        <v>3</v>
      </c>
      <c r="B7" s="145" t="s">
        <v>112</v>
      </c>
      <c r="C7" s="48" t="s">
        <v>1</v>
      </c>
      <c r="D7" s="94">
        <v>26600</v>
      </c>
      <c r="E7" s="14">
        <v>26500</v>
      </c>
      <c r="F7" s="15">
        <f>D7</f>
        <v>26600</v>
      </c>
      <c r="G7" s="182">
        <f t="shared" ref="G7:G14" si="1">F7</f>
        <v>26600</v>
      </c>
      <c r="I7" s="98"/>
      <c r="J7" s="92">
        <f t="shared" ref="J7:J14" si="2">F7+F7*5/100</f>
        <v>27930</v>
      </c>
      <c r="K7" s="92">
        <f>J7/J16*100</f>
        <v>2.6001955034213098</v>
      </c>
      <c r="L7" s="92">
        <f>J27*K7/100</f>
        <v>2441.3235581622675</v>
      </c>
      <c r="M7" s="92">
        <f t="shared" si="0"/>
        <v>30371.323558162268</v>
      </c>
      <c r="N7" s="173">
        <v>28100</v>
      </c>
      <c r="O7" s="92">
        <f>N7-F7</f>
        <v>1500</v>
      </c>
      <c r="P7" s="92">
        <f t="shared" ref="P7:P14" si="3">O7/F7*100</f>
        <v>5.6390977443609023</v>
      </c>
      <c r="Q7" s="161">
        <v>28300</v>
      </c>
      <c r="S7" s="2">
        <f t="shared" ref="S7:S14" si="4">Q7-F7</f>
        <v>1700</v>
      </c>
      <c r="T7">
        <f t="shared" ref="T7:T14" si="5">S7/F7*100</f>
        <v>6.3909774436090219</v>
      </c>
      <c r="U7">
        <v>6.3909774436090219</v>
      </c>
    </row>
    <row r="8" spans="1:26" ht="45" x14ac:dyDescent="0.25">
      <c r="A8" s="89">
        <v>4</v>
      </c>
      <c r="B8" s="145" t="s">
        <v>142</v>
      </c>
      <c r="C8" s="183" t="s">
        <v>177</v>
      </c>
      <c r="D8" s="94">
        <v>115700</v>
      </c>
      <c r="E8" s="14">
        <v>115700</v>
      </c>
      <c r="F8" s="15">
        <f>D8</f>
        <v>115700</v>
      </c>
      <c r="G8" s="182">
        <f t="shared" si="1"/>
        <v>115700</v>
      </c>
      <c r="J8" s="92">
        <f t="shared" si="2"/>
        <v>121485</v>
      </c>
      <c r="K8" s="92">
        <f>J8/J16*100</f>
        <v>11.309872922776149</v>
      </c>
      <c r="L8" s="92">
        <f>J27*K8/100</f>
        <v>10618.839687194526</v>
      </c>
      <c r="M8" s="92">
        <f t="shared" si="0"/>
        <v>132103.83968719453</v>
      </c>
      <c r="N8" s="173">
        <v>122300</v>
      </c>
      <c r="O8" s="92">
        <f t="shared" ref="O8:O14" si="6">N8-F8</f>
        <v>6600</v>
      </c>
      <c r="P8" s="92">
        <f t="shared" si="3"/>
        <v>5.704407951598963</v>
      </c>
      <c r="Q8" s="161">
        <v>122500</v>
      </c>
      <c r="S8" s="2">
        <f t="shared" si="4"/>
        <v>6800</v>
      </c>
      <c r="T8">
        <f t="shared" si="5"/>
        <v>5.8772687986171137</v>
      </c>
      <c r="U8">
        <v>5.8772687986171137</v>
      </c>
    </row>
    <row r="9" spans="1:26" ht="30" x14ac:dyDescent="0.25">
      <c r="A9" s="89">
        <v>5</v>
      </c>
      <c r="B9" s="145" t="s">
        <v>161</v>
      </c>
      <c r="C9" s="48" t="s">
        <v>26</v>
      </c>
      <c r="D9" s="94">
        <v>164450</v>
      </c>
      <c r="E9" s="14">
        <v>168000</v>
      </c>
      <c r="F9" s="15">
        <v>165000</v>
      </c>
      <c r="G9" s="182">
        <f t="shared" si="1"/>
        <v>165000</v>
      </c>
      <c r="H9" s="20"/>
      <c r="J9" s="153">
        <f t="shared" si="2"/>
        <v>173250</v>
      </c>
      <c r="K9" s="153">
        <f>J9/J16*100</f>
        <v>16.129032258064516</v>
      </c>
      <c r="L9" s="153">
        <f>J27*K9/100</f>
        <v>15143.548387096773</v>
      </c>
      <c r="M9" s="92">
        <f t="shared" si="0"/>
        <v>188393.54838709679</v>
      </c>
      <c r="N9" s="173">
        <v>174400</v>
      </c>
      <c r="O9" s="92">
        <f t="shared" si="6"/>
        <v>9400</v>
      </c>
      <c r="P9" s="92">
        <f t="shared" si="3"/>
        <v>5.6969696969696972</v>
      </c>
      <c r="Q9" s="161">
        <v>174600</v>
      </c>
      <c r="S9" s="2">
        <f t="shared" si="4"/>
        <v>9600</v>
      </c>
      <c r="T9">
        <f t="shared" si="5"/>
        <v>5.8181818181818183</v>
      </c>
      <c r="U9">
        <v>5.8181818181818183</v>
      </c>
    </row>
    <row r="10" spans="1:26" x14ac:dyDescent="0.25">
      <c r="A10" s="89">
        <v>6</v>
      </c>
      <c r="B10" s="145" t="s">
        <v>161</v>
      </c>
      <c r="C10" s="183" t="s">
        <v>233</v>
      </c>
      <c r="D10" s="94">
        <v>26600</v>
      </c>
      <c r="E10" s="14">
        <v>26600</v>
      </c>
      <c r="F10" s="15">
        <v>37600</v>
      </c>
      <c r="G10" s="182">
        <f t="shared" si="1"/>
        <v>37600</v>
      </c>
      <c r="H10" s="20"/>
      <c r="I10" s="20"/>
      <c r="J10" s="92">
        <f t="shared" si="2"/>
        <v>39480</v>
      </c>
      <c r="K10" s="92">
        <f>J10/J16*100</f>
        <v>3.6754643206256112</v>
      </c>
      <c r="L10" s="92">
        <f>J27*K10/100</f>
        <v>3450.8934506353862</v>
      </c>
      <c r="M10" s="92">
        <f t="shared" si="0"/>
        <v>42930.893450635383</v>
      </c>
      <c r="N10" s="173">
        <v>39600</v>
      </c>
      <c r="O10" s="92">
        <f>N10-F10</f>
        <v>2000</v>
      </c>
      <c r="P10" s="92">
        <f t="shared" si="3"/>
        <v>5.3191489361702127</v>
      </c>
      <c r="Q10" s="161">
        <v>39400</v>
      </c>
      <c r="S10" s="2">
        <f t="shared" si="4"/>
        <v>1800</v>
      </c>
      <c r="T10">
        <f t="shared" si="5"/>
        <v>4.7872340425531918</v>
      </c>
      <c r="U10">
        <v>4.7872340425531918</v>
      </c>
      <c r="W10" s="2"/>
      <c r="Z10" s="2"/>
    </row>
    <row r="11" spans="1:26" ht="30" x14ac:dyDescent="0.25">
      <c r="A11" s="89">
        <v>7</v>
      </c>
      <c r="B11" s="145" t="s">
        <v>110</v>
      </c>
      <c r="C11" s="48" t="s">
        <v>28</v>
      </c>
      <c r="D11" s="94">
        <v>28600</v>
      </c>
      <c r="E11" s="14">
        <v>27600</v>
      </c>
      <c r="F11" s="15">
        <f>D11</f>
        <v>28600</v>
      </c>
      <c r="G11" s="182">
        <f t="shared" si="1"/>
        <v>28600</v>
      </c>
      <c r="J11" s="153">
        <f t="shared" si="2"/>
        <v>30030</v>
      </c>
      <c r="K11" s="153">
        <f>J11/J16*100</f>
        <v>2.795698924731183</v>
      </c>
      <c r="L11" s="153">
        <f>J27*K11/100</f>
        <v>2624.8817204301076</v>
      </c>
      <c r="M11" s="92">
        <f t="shared" si="0"/>
        <v>32654.881720430109</v>
      </c>
      <c r="N11" s="173">
        <v>30200</v>
      </c>
      <c r="O11" s="92">
        <f t="shared" si="6"/>
        <v>1600</v>
      </c>
      <c r="P11" s="92">
        <f t="shared" si="3"/>
        <v>5.5944055944055942</v>
      </c>
      <c r="Q11" s="161">
        <v>32000</v>
      </c>
      <c r="S11" s="2">
        <f t="shared" si="4"/>
        <v>3400</v>
      </c>
      <c r="T11">
        <f t="shared" si="5"/>
        <v>11.888111888111888</v>
      </c>
      <c r="U11">
        <v>11.888111888111888</v>
      </c>
      <c r="V11" s="2"/>
      <c r="W11" s="2"/>
      <c r="Z11" s="2"/>
    </row>
    <row r="12" spans="1:26" ht="30" x14ac:dyDescent="0.25">
      <c r="A12" s="89">
        <v>8</v>
      </c>
      <c r="B12" s="145" t="s">
        <v>112</v>
      </c>
      <c r="C12" s="48" t="s">
        <v>0</v>
      </c>
      <c r="D12" s="94">
        <v>338000</v>
      </c>
      <c r="E12" s="14">
        <v>330000</v>
      </c>
      <c r="F12" s="15">
        <v>340000</v>
      </c>
      <c r="G12" s="182">
        <f t="shared" si="1"/>
        <v>340000</v>
      </c>
      <c r="H12" s="20"/>
      <c r="J12" s="153">
        <f t="shared" si="2"/>
        <v>357000</v>
      </c>
      <c r="K12" s="153">
        <f>J12/J16*100</f>
        <v>33.235581622678396</v>
      </c>
      <c r="L12" s="153">
        <f>J27*K12/100</f>
        <v>31204.887585532746</v>
      </c>
      <c r="M12" s="92">
        <f t="shared" si="0"/>
        <v>388204.88758553274</v>
      </c>
      <c r="N12" s="173">
        <v>359000</v>
      </c>
      <c r="O12" s="92">
        <f t="shared" si="6"/>
        <v>19000</v>
      </c>
      <c r="P12" s="92">
        <f t="shared" si="3"/>
        <v>5.5882352941176476</v>
      </c>
      <c r="Q12" s="161">
        <v>359100</v>
      </c>
      <c r="S12" s="2">
        <f t="shared" si="4"/>
        <v>19100</v>
      </c>
      <c r="T12">
        <f t="shared" si="5"/>
        <v>5.617647058823529</v>
      </c>
      <c r="U12">
        <v>5.617647058823529</v>
      </c>
    </row>
    <row r="13" spans="1:26" ht="45" x14ac:dyDescent="0.25">
      <c r="A13" s="89">
        <v>9</v>
      </c>
      <c r="B13" s="145" t="s">
        <v>124</v>
      </c>
      <c r="C13" s="48" t="s">
        <v>29</v>
      </c>
      <c r="D13" s="94">
        <v>16450</v>
      </c>
      <c r="E13" s="14">
        <v>16450</v>
      </c>
      <c r="F13" s="15">
        <v>16500</v>
      </c>
      <c r="G13" s="182">
        <f t="shared" si="1"/>
        <v>16500</v>
      </c>
      <c r="J13" s="153">
        <f t="shared" si="2"/>
        <v>17325</v>
      </c>
      <c r="K13" s="153">
        <f>J13/J16*100</f>
        <v>1.6129032258064515</v>
      </c>
      <c r="L13" s="153">
        <f>J27*K13/100</f>
        <v>1514.3548387096773</v>
      </c>
      <c r="M13" s="92">
        <f t="shared" si="0"/>
        <v>18839.354838709678</v>
      </c>
      <c r="N13" s="173">
        <v>17400</v>
      </c>
      <c r="O13" s="92">
        <f t="shared" si="6"/>
        <v>900</v>
      </c>
      <c r="P13" s="92">
        <f t="shared" si="3"/>
        <v>5.4545454545454541</v>
      </c>
      <c r="Q13" s="161">
        <v>17600</v>
      </c>
      <c r="S13" s="2">
        <f t="shared" si="4"/>
        <v>1100</v>
      </c>
      <c r="T13">
        <f t="shared" si="5"/>
        <v>6.666666666666667</v>
      </c>
      <c r="U13">
        <v>6.666666666666667</v>
      </c>
    </row>
    <row r="14" spans="1:26" ht="65.25" customHeight="1" x14ac:dyDescent="0.25">
      <c r="A14" s="89">
        <v>10</v>
      </c>
      <c r="B14" s="145" t="s">
        <v>162</v>
      </c>
      <c r="C14" s="88" t="s">
        <v>147</v>
      </c>
      <c r="D14" s="94">
        <v>150000</v>
      </c>
      <c r="E14" s="14">
        <v>150550</v>
      </c>
      <c r="F14" s="15">
        <f>D14</f>
        <v>150000</v>
      </c>
      <c r="G14" s="182">
        <f t="shared" si="1"/>
        <v>150000</v>
      </c>
      <c r="J14" s="153">
        <f t="shared" si="2"/>
        <v>157500</v>
      </c>
      <c r="K14" s="153">
        <f>J14/J16*100</f>
        <v>14.66275659824047</v>
      </c>
      <c r="L14" s="153">
        <f>J27*K14/100</f>
        <v>13766.862170087978</v>
      </c>
      <c r="M14" s="92">
        <f t="shared" si="0"/>
        <v>171266.86217008799</v>
      </c>
      <c r="N14" s="173">
        <v>158000</v>
      </c>
      <c r="O14" s="92">
        <f t="shared" si="6"/>
        <v>8000</v>
      </c>
      <c r="P14" s="92">
        <f t="shared" si="3"/>
        <v>5.3333333333333339</v>
      </c>
      <c r="Q14" s="161">
        <v>158200</v>
      </c>
      <c r="S14" s="2">
        <f t="shared" si="4"/>
        <v>8200</v>
      </c>
      <c r="T14">
        <f t="shared" si="5"/>
        <v>5.4666666666666668</v>
      </c>
      <c r="U14">
        <v>5.4666666666666668</v>
      </c>
    </row>
    <row r="15" spans="1:26" ht="65.25" customHeight="1" x14ac:dyDescent="0.25">
      <c r="A15" s="188"/>
      <c r="B15" s="189"/>
      <c r="C15" s="190" t="s">
        <v>243</v>
      </c>
      <c r="D15" s="191"/>
      <c r="E15" s="192"/>
      <c r="F15" s="15">
        <v>23460</v>
      </c>
      <c r="G15" s="182"/>
      <c r="J15" s="153"/>
      <c r="K15" s="153"/>
      <c r="L15" s="153"/>
      <c r="M15" s="92"/>
      <c r="N15" s="173"/>
      <c r="O15" s="92"/>
      <c r="P15" s="92"/>
      <c r="Q15" s="161">
        <f>F15</f>
        <v>23460</v>
      </c>
      <c r="S15" s="2"/>
    </row>
    <row r="16" spans="1:26" ht="15.75" x14ac:dyDescent="0.25">
      <c r="C16" s="36" t="s">
        <v>39</v>
      </c>
      <c r="D16" s="91">
        <f>SUM(D5:D14)</f>
        <v>1026400</v>
      </c>
      <c r="E16" s="91">
        <f>SUM(E5:E14)</f>
        <v>1026400</v>
      </c>
      <c r="F16" s="105">
        <f>SUM(F5:F15)</f>
        <v>1076460</v>
      </c>
      <c r="G16" s="105">
        <f>SUM(G5:G14)</f>
        <v>1023000</v>
      </c>
      <c r="H16" s="20"/>
      <c r="I16" s="20"/>
      <c r="J16" s="105">
        <f>SUM(J5:J14)</f>
        <v>1074150</v>
      </c>
      <c r="K16" s="105"/>
      <c r="L16" s="105"/>
      <c r="M16" s="105"/>
      <c r="N16" s="174">
        <f>SUM(N5:N14)</f>
        <v>1080100</v>
      </c>
      <c r="O16" s="105"/>
      <c r="P16" s="105"/>
      <c r="Q16" s="178">
        <f>SUM(Q5:Q15)</f>
        <v>1106260</v>
      </c>
    </row>
    <row r="18" spans="3:20" x14ac:dyDescent="0.25">
      <c r="C18"/>
      <c r="D18" s="92"/>
      <c r="F18" s="20"/>
      <c r="G18" s="20"/>
      <c r="H18" s="20"/>
    </row>
    <row r="19" spans="3:20" x14ac:dyDescent="0.25">
      <c r="C19" s="102" t="s">
        <v>172</v>
      </c>
      <c r="D19" s="92"/>
      <c r="E19" s="92"/>
      <c r="F19" s="20">
        <f>F16*11</f>
        <v>11841060</v>
      </c>
      <c r="G19" s="20"/>
      <c r="H19" s="2">
        <f>F15*8</f>
        <v>187680</v>
      </c>
      <c r="J19" s="153">
        <f>J16*11</f>
        <v>11815650</v>
      </c>
      <c r="K19" s="153"/>
      <c r="L19" s="153"/>
      <c r="M19" s="153"/>
      <c r="N19" s="175">
        <f>N16*11</f>
        <v>11881100</v>
      </c>
      <c r="O19" s="153"/>
      <c r="P19" s="153"/>
      <c r="Q19" s="179">
        <f>Q16*11</f>
        <v>12168860</v>
      </c>
      <c r="T19" s="2">
        <f>Q15*8</f>
        <v>187680</v>
      </c>
    </row>
    <row r="20" spans="3:20" x14ac:dyDescent="0.25">
      <c r="C20" s="103" t="s">
        <v>173</v>
      </c>
      <c r="D20" s="92"/>
      <c r="E20" s="92"/>
      <c r="F20" s="20">
        <v>988200</v>
      </c>
      <c r="G20" s="20"/>
      <c r="H20" s="92"/>
      <c r="J20" s="153">
        <f>F16</f>
        <v>1076460</v>
      </c>
      <c r="K20" s="153"/>
      <c r="L20" s="153"/>
      <c r="M20" s="153"/>
      <c r="N20" s="175">
        <v>1054000</v>
      </c>
      <c r="O20" s="153"/>
      <c r="P20" s="153"/>
      <c r="Q20" s="179">
        <v>1023000</v>
      </c>
    </row>
    <row r="21" spans="3:20" x14ac:dyDescent="0.25">
      <c r="C21" s="102" t="s">
        <v>158</v>
      </c>
      <c r="D21" s="92"/>
      <c r="E21" s="92"/>
      <c r="F21" s="20">
        <v>550000</v>
      </c>
      <c r="G21" s="20"/>
      <c r="J21" s="92">
        <f>F21</f>
        <v>550000</v>
      </c>
      <c r="K21" s="92"/>
      <c r="L21" s="92"/>
      <c r="M21" s="92"/>
      <c r="N21" s="173">
        <v>600000</v>
      </c>
      <c r="O21" s="92"/>
      <c r="P21" s="92"/>
      <c r="Q21" s="161">
        <f>N21</f>
        <v>600000</v>
      </c>
    </row>
    <row r="22" spans="3:20" x14ac:dyDescent="0.25">
      <c r="C22" s="102" t="s">
        <v>175</v>
      </c>
      <c r="D22" s="92"/>
      <c r="E22" s="92"/>
      <c r="F22" s="20">
        <v>22300</v>
      </c>
      <c r="G22" s="20"/>
    </row>
    <row r="23" spans="3:20" x14ac:dyDescent="0.25">
      <c r="C23" s="102" t="s">
        <v>39</v>
      </c>
      <c r="D23" s="92"/>
      <c r="E23" s="92"/>
      <c r="F23" s="20">
        <f>F19+F20+F21+F22</f>
        <v>13401560</v>
      </c>
      <c r="G23" s="20"/>
      <c r="J23" s="153">
        <f>J19+J20+J21</f>
        <v>13442110</v>
      </c>
      <c r="K23" s="153"/>
      <c r="L23" s="153"/>
      <c r="M23" s="153"/>
      <c r="N23" s="175">
        <f>N19+N20+N21</f>
        <v>13535100</v>
      </c>
      <c r="O23" s="153"/>
      <c r="P23" s="153"/>
      <c r="Q23" s="179">
        <f>Q19+Q20+Q21</f>
        <v>13791860</v>
      </c>
    </row>
    <row r="24" spans="3:20" x14ac:dyDescent="0.25">
      <c r="C24" s="102"/>
      <c r="D24" s="92"/>
      <c r="E24" s="92"/>
      <c r="F24" s="20"/>
      <c r="G24" s="20"/>
      <c r="L24" s="153"/>
    </row>
    <row r="25" spans="3:20" x14ac:dyDescent="0.25">
      <c r="C25"/>
      <c r="D25" s="92"/>
      <c r="J25" s="153">
        <v>13536000</v>
      </c>
    </row>
    <row r="26" spans="3:20" x14ac:dyDescent="0.25">
      <c r="C26" s="102" t="s">
        <v>156</v>
      </c>
      <c r="D26" s="93"/>
      <c r="E26" s="93"/>
      <c r="F26" s="93">
        <v>13143700</v>
      </c>
      <c r="G26" s="93"/>
      <c r="H26">
        <f>30000*11+20000</f>
        <v>350000</v>
      </c>
      <c r="Q26" s="179">
        <f>Q16-F16</f>
        <v>29800</v>
      </c>
    </row>
    <row r="27" spans="3:20" x14ac:dyDescent="0.25">
      <c r="H27" s="2">
        <f>F26-H26</f>
        <v>12793700</v>
      </c>
      <c r="J27" s="153">
        <f>J25-J23</f>
        <v>93890</v>
      </c>
      <c r="N27" s="176"/>
    </row>
    <row r="28" spans="3:20" x14ac:dyDescent="0.25">
      <c r="C28" s="106" t="s">
        <v>174</v>
      </c>
      <c r="D28" s="92"/>
      <c r="F28" s="20">
        <f>F26-F19-F20-F21</f>
        <v>-235560</v>
      </c>
      <c r="G28" s="20"/>
      <c r="N28" s="175"/>
    </row>
    <row r="30" spans="3:20" x14ac:dyDescent="0.25">
      <c r="C30"/>
      <c r="D30" s="9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D30"/>
  <sheetViews>
    <sheetView workbookViewId="0">
      <selection activeCell="C10" sqref="C10"/>
    </sheetView>
  </sheetViews>
  <sheetFormatPr defaultRowHeight="15" x14ac:dyDescent="0.25"/>
  <cols>
    <col min="1" max="1" width="6.5703125" customWidth="1"/>
    <col min="2" max="2" width="15.7109375" customWidth="1"/>
    <col min="3" max="3" width="52.42578125" style="87" bestFit="1" customWidth="1"/>
    <col min="4" max="4" width="15.140625" style="90" customWidth="1"/>
    <col min="191" max="191" width="68.28515625" customWidth="1"/>
    <col min="192" max="192" width="17.85546875" bestFit="1" customWidth="1"/>
    <col min="193" max="193" width="11.7109375" customWidth="1"/>
    <col min="194" max="194" width="10.7109375" customWidth="1"/>
    <col min="195" max="195" width="12" customWidth="1"/>
    <col min="196" max="196" width="14.85546875" customWidth="1"/>
    <col min="197" max="197" width="11.85546875" customWidth="1"/>
    <col min="198" max="198" width="10.42578125" customWidth="1"/>
    <col min="200" max="200" width="12.85546875" customWidth="1"/>
    <col min="201" max="201" width="16.140625" customWidth="1"/>
    <col min="203" max="203" width="15.140625" bestFit="1" customWidth="1"/>
    <col min="447" max="447" width="68.28515625" customWidth="1"/>
    <col min="448" max="448" width="17.85546875" bestFit="1" customWidth="1"/>
    <col min="449" max="449" width="11.7109375" customWidth="1"/>
    <col min="450" max="450" width="10.7109375" customWidth="1"/>
    <col min="451" max="451" width="12" customWidth="1"/>
    <col min="452" max="452" width="14.85546875" customWidth="1"/>
    <col min="453" max="453" width="11.85546875" customWidth="1"/>
    <col min="454" max="454" width="10.42578125" customWidth="1"/>
    <col min="456" max="456" width="12.85546875" customWidth="1"/>
    <col min="457" max="457" width="16.140625" customWidth="1"/>
    <col min="459" max="459" width="15.140625" bestFit="1" customWidth="1"/>
    <col min="703" max="703" width="68.28515625" customWidth="1"/>
    <col min="704" max="704" width="17.85546875" bestFit="1" customWidth="1"/>
    <col min="705" max="705" width="11.7109375" customWidth="1"/>
    <col min="706" max="706" width="10.7109375" customWidth="1"/>
    <col min="707" max="707" width="12" customWidth="1"/>
    <col min="708" max="708" width="14.85546875" customWidth="1"/>
    <col min="709" max="709" width="11.85546875" customWidth="1"/>
    <col min="710" max="710" width="10.42578125" customWidth="1"/>
    <col min="712" max="712" width="12.85546875" customWidth="1"/>
    <col min="713" max="713" width="16.140625" customWidth="1"/>
    <col min="715" max="715" width="15.140625" bestFit="1" customWidth="1"/>
    <col min="959" max="959" width="68.28515625" customWidth="1"/>
    <col min="960" max="960" width="17.85546875" bestFit="1" customWidth="1"/>
    <col min="961" max="961" width="11.7109375" customWidth="1"/>
    <col min="962" max="962" width="10.7109375" customWidth="1"/>
    <col min="963" max="963" width="12" customWidth="1"/>
    <col min="964" max="964" width="14.85546875" customWidth="1"/>
    <col min="965" max="965" width="11.85546875" customWidth="1"/>
    <col min="966" max="966" width="10.42578125" customWidth="1"/>
    <col min="968" max="968" width="12.85546875" customWidth="1"/>
    <col min="969" max="969" width="16.140625" customWidth="1"/>
    <col min="971" max="971" width="15.140625" bestFit="1" customWidth="1"/>
    <col min="1215" max="1215" width="68.28515625" customWidth="1"/>
    <col min="1216" max="1216" width="17.85546875" bestFit="1" customWidth="1"/>
    <col min="1217" max="1217" width="11.7109375" customWidth="1"/>
    <col min="1218" max="1218" width="10.7109375" customWidth="1"/>
    <col min="1219" max="1219" width="12" customWidth="1"/>
    <col min="1220" max="1220" width="14.85546875" customWidth="1"/>
    <col min="1221" max="1221" width="11.85546875" customWidth="1"/>
    <col min="1222" max="1222" width="10.42578125" customWidth="1"/>
    <col min="1224" max="1224" width="12.85546875" customWidth="1"/>
    <col min="1225" max="1225" width="16.140625" customWidth="1"/>
    <col min="1227" max="1227" width="15.140625" bestFit="1" customWidth="1"/>
    <col min="1471" max="1471" width="68.28515625" customWidth="1"/>
    <col min="1472" max="1472" width="17.85546875" bestFit="1" customWidth="1"/>
    <col min="1473" max="1473" width="11.7109375" customWidth="1"/>
    <col min="1474" max="1474" width="10.7109375" customWidth="1"/>
    <col min="1475" max="1475" width="12" customWidth="1"/>
    <col min="1476" max="1476" width="14.85546875" customWidth="1"/>
    <col min="1477" max="1477" width="11.85546875" customWidth="1"/>
    <col min="1478" max="1478" width="10.42578125" customWidth="1"/>
    <col min="1480" max="1480" width="12.85546875" customWidth="1"/>
    <col min="1481" max="1481" width="16.140625" customWidth="1"/>
    <col min="1483" max="1483" width="15.140625" bestFit="1" customWidth="1"/>
    <col min="1727" max="1727" width="68.28515625" customWidth="1"/>
    <col min="1728" max="1728" width="17.85546875" bestFit="1" customWidth="1"/>
    <col min="1729" max="1729" width="11.7109375" customWidth="1"/>
    <col min="1730" max="1730" width="10.7109375" customWidth="1"/>
    <col min="1731" max="1731" width="12" customWidth="1"/>
    <col min="1732" max="1732" width="14.85546875" customWidth="1"/>
    <col min="1733" max="1733" width="11.85546875" customWidth="1"/>
    <col min="1734" max="1734" width="10.42578125" customWidth="1"/>
    <col min="1736" max="1736" width="12.85546875" customWidth="1"/>
    <col min="1737" max="1737" width="16.140625" customWidth="1"/>
    <col min="1739" max="1739" width="15.140625" bestFit="1" customWidth="1"/>
    <col min="1983" max="1983" width="68.28515625" customWidth="1"/>
    <col min="1984" max="1984" width="17.85546875" bestFit="1" customWidth="1"/>
    <col min="1985" max="1985" width="11.7109375" customWidth="1"/>
    <col min="1986" max="1986" width="10.7109375" customWidth="1"/>
    <col min="1987" max="1987" width="12" customWidth="1"/>
    <col min="1988" max="1988" width="14.85546875" customWidth="1"/>
    <col min="1989" max="1989" width="11.85546875" customWidth="1"/>
    <col min="1990" max="1990" width="10.42578125" customWidth="1"/>
    <col min="1992" max="1992" width="12.85546875" customWidth="1"/>
    <col min="1993" max="1993" width="16.140625" customWidth="1"/>
    <col min="1995" max="1995" width="15.140625" bestFit="1" customWidth="1"/>
    <col min="2239" max="2239" width="68.28515625" customWidth="1"/>
    <col min="2240" max="2240" width="17.85546875" bestFit="1" customWidth="1"/>
    <col min="2241" max="2241" width="11.7109375" customWidth="1"/>
    <col min="2242" max="2242" width="10.7109375" customWidth="1"/>
    <col min="2243" max="2243" width="12" customWidth="1"/>
    <col min="2244" max="2244" width="14.85546875" customWidth="1"/>
    <col min="2245" max="2245" width="11.85546875" customWidth="1"/>
    <col min="2246" max="2246" width="10.42578125" customWidth="1"/>
    <col min="2248" max="2248" width="12.85546875" customWidth="1"/>
    <col min="2249" max="2249" width="16.140625" customWidth="1"/>
    <col min="2251" max="2251" width="15.140625" bestFit="1" customWidth="1"/>
    <col min="2495" max="2495" width="68.28515625" customWidth="1"/>
    <col min="2496" max="2496" width="17.85546875" bestFit="1" customWidth="1"/>
    <col min="2497" max="2497" width="11.7109375" customWidth="1"/>
    <col min="2498" max="2498" width="10.7109375" customWidth="1"/>
    <col min="2499" max="2499" width="12" customWidth="1"/>
    <col min="2500" max="2500" width="14.85546875" customWidth="1"/>
    <col min="2501" max="2501" width="11.85546875" customWidth="1"/>
    <col min="2502" max="2502" width="10.42578125" customWidth="1"/>
    <col min="2504" max="2504" width="12.85546875" customWidth="1"/>
    <col min="2505" max="2505" width="16.140625" customWidth="1"/>
    <col min="2507" max="2507" width="15.140625" bestFit="1" customWidth="1"/>
    <col min="2751" max="2751" width="68.28515625" customWidth="1"/>
    <col min="2752" max="2752" width="17.85546875" bestFit="1" customWidth="1"/>
    <col min="2753" max="2753" width="11.7109375" customWidth="1"/>
    <col min="2754" max="2754" width="10.7109375" customWidth="1"/>
    <col min="2755" max="2755" width="12" customWidth="1"/>
    <col min="2756" max="2756" width="14.85546875" customWidth="1"/>
    <col min="2757" max="2757" width="11.85546875" customWidth="1"/>
    <col min="2758" max="2758" width="10.42578125" customWidth="1"/>
    <col min="2760" max="2760" width="12.85546875" customWidth="1"/>
    <col min="2761" max="2761" width="16.140625" customWidth="1"/>
    <col min="2763" max="2763" width="15.140625" bestFit="1" customWidth="1"/>
    <col min="3007" max="3007" width="68.28515625" customWidth="1"/>
    <col min="3008" max="3008" width="17.85546875" bestFit="1" customWidth="1"/>
    <col min="3009" max="3009" width="11.7109375" customWidth="1"/>
    <col min="3010" max="3010" width="10.7109375" customWidth="1"/>
    <col min="3011" max="3011" width="12" customWidth="1"/>
    <col min="3012" max="3012" width="14.85546875" customWidth="1"/>
    <col min="3013" max="3013" width="11.85546875" customWidth="1"/>
    <col min="3014" max="3014" width="10.42578125" customWidth="1"/>
    <col min="3016" max="3016" width="12.85546875" customWidth="1"/>
    <col min="3017" max="3017" width="16.140625" customWidth="1"/>
    <col min="3019" max="3019" width="15.140625" bestFit="1" customWidth="1"/>
    <col min="3263" max="3263" width="68.28515625" customWidth="1"/>
    <col min="3264" max="3264" width="17.85546875" bestFit="1" customWidth="1"/>
    <col min="3265" max="3265" width="11.7109375" customWidth="1"/>
    <col min="3266" max="3266" width="10.7109375" customWidth="1"/>
    <col min="3267" max="3267" width="12" customWidth="1"/>
    <col min="3268" max="3268" width="14.85546875" customWidth="1"/>
    <col min="3269" max="3269" width="11.85546875" customWidth="1"/>
    <col min="3270" max="3270" width="10.42578125" customWidth="1"/>
    <col min="3272" max="3272" width="12.85546875" customWidth="1"/>
    <col min="3273" max="3273" width="16.140625" customWidth="1"/>
    <col min="3275" max="3275" width="15.140625" bestFit="1" customWidth="1"/>
    <col min="3519" max="3519" width="68.28515625" customWidth="1"/>
    <col min="3520" max="3520" width="17.85546875" bestFit="1" customWidth="1"/>
    <col min="3521" max="3521" width="11.7109375" customWidth="1"/>
    <col min="3522" max="3522" width="10.7109375" customWidth="1"/>
    <col min="3523" max="3523" width="12" customWidth="1"/>
    <col min="3524" max="3524" width="14.85546875" customWidth="1"/>
    <col min="3525" max="3525" width="11.85546875" customWidth="1"/>
    <col min="3526" max="3526" width="10.42578125" customWidth="1"/>
    <col min="3528" max="3528" width="12.85546875" customWidth="1"/>
    <col min="3529" max="3529" width="16.140625" customWidth="1"/>
    <col min="3531" max="3531" width="15.140625" bestFit="1" customWidth="1"/>
    <col min="3775" max="3775" width="68.28515625" customWidth="1"/>
    <col min="3776" max="3776" width="17.85546875" bestFit="1" customWidth="1"/>
    <col min="3777" max="3777" width="11.7109375" customWidth="1"/>
    <col min="3778" max="3778" width="10.7109375" customWidth="1"/>
    <col min="3779" max="3779" width="12" customWidth="1"/>
    <col min="3780" max="3780" width="14.85546875" customWidth="1"/>
    <col min="3781" max="3781" width="11.85546875" customWidth="1"/>
    <col min="3782" max="3782" width="10.42578125" customWidth="1"/>
    <col min="3784" max="3784" width="12.85546875" customWidth="1"/>
    <col min="3785" max="3785" width="16.140625" customWidth="1"/>
    <col min="3787" max="3787" width="15.140625" bestFit="1" customWidth="1"/>
    <col min="4031" max="4031" width="68.28515625" customWidth="1"/>
    <col min="4032" max="4032" width="17.85546875" bestFit="1" customWidth="1"/>
    <col min="4033" max="4033" width="11.7109375" customWidth="1"/>
    <col min="4034" max="4034" width="10.7109375" customWidth="1"/>
    <col min="4035" max="4035" width="12" customWidth="1"/>
    <col min="4036" max="4036" width="14.85546875" customWidth="1"/>
    <col min="4037" max="4037" width="11.85546875" customWidth="1"/>
    <col min="4038" max="4038" width="10.42578125" customWidth="1"/>
    <col min="4040" max="4040" width="12.85546875" customWidth="1"/>
    <col min="4041" max="4041" width="16.140625" customWidth="1"/>
    <col min="4043" max="4043" width="15.140625" bestFit="1" customWidth="1"/>
    <col min="4287" max="4287" width="68.28515625" customWidth="1"/>
    <col min="4288" max="4288" width="17.85546875" bestFit="1" customWidth="1"/>
    <col min="4289" max="4289" width="11.7109375" customWidth="1"/>
    <col min="4290" max="4290" width="10.7109375" customWidth="1"/>
    <col min="4291" max="4291" width="12" customWidth="1"/>
    <col min="4292" max="4292" width="14.85546875" customWidth="1"/>
    <col min="4293" max="4293" width="11.85546875" customWidth="1"/>
    <col min="4294" max="4294" width="10.42578125" customWidth="1"/>
    <col min="4296" max="4296" width="12.85546875" customWidth="1"/>
    <col min="4297" max="4297" width="16.140625" customWidth="1"/>
    <col min="4299" max="4299" width="15.140625" bestFit="1" customWidth="1"/>
    <col min="4543" max="4543" width="68.28515625" customWidth="1"/>
    <col min="4544" max="4544" width="17.85546875" bestFit="1" customWidth="1"/>
    <col min="4545" max="4545" width="11.7109375" customWidth="1"/>
    <col min="4546" max="4546" width="10.7109375" customWidth="1"/>
    <col min="4547" max="4547" width="12" customWidth="1"/>
    <col min="4548" max="4548" width="14.85546875" customWidth="1"/>
    <col min="4549" max="4549" width="11.85546875" customWidth="1"/>
    <col min="4550" max="4550" width="10.42578125" customWidth="1"/>
    <col min="4552" max="4552" width="12.85546875" customWidth="1"/>
    <col min="4553" max="4553" width="16.140625" customWidth="1"/>
    <col min="4555" max="4555" width="15.140625" bestFit="1" customWidth="1"/>
    <col min="4799" max="4799" width="68.28515625" customWidth="1"/>
    <col min="4800" max="4800" width="17.85546875" bestFit="1" customWidth="1"/>
    <col min="4801" max="4801" width="11.7109375" customWidth="1"/>
    <col min="4802" max="4802" width="10.7109375" customWidth="1"/>
    <col min="4803" max="4803" width="12" customWidth="1"/>
    <col min="4804" max="4804" width="14.85546875" customWidth="1"/>
    <col min="4805" max="4805" width="11.85546875" customWidth="1"/>
    <col min="4806" max="4806" width="10.42578125" customWidth="1"/>
    <col min="4808" max="4808" width="12.85546875" customWidth="1"/>
    <col min="4809" max="4809" width="16.140625" customWidth="1"/>
    <col min="4811" max="4811" width="15.140625" bestFit="1" customWidth="1"/>
    <col min="5055" max="5055" width="68.28515625" customWidth="1"/>
    <col min="5056" max="5056" width="17.85546875" bestFit="1" customWidth="1"/>
    <col min="5057" max="5057" width="11.7109375" customWidth="1"/>
    <col min="5058" max="5058" width="10.7109375" customWidth="1"/>
    <col min="5059" max="5059" width="12" customWidth="1"/>
    <col min="5060" max="5060" width="14.85546875" customWidth="1"/>
    <col min="5061" max="5061" width="11.85546875" customWidth="1"/>
    <col min="5062" max="5062" width="10.42578125" customWidth="1"/>
    <col min="5064" max="5064" width="12.85546875" customWidth="1"/>
    <col min="5065" max="5065" width="16.140625" customWidth="1"/>
    <col min="5067" max="5067" width="15.140625" bestFit="1" customWidth="1"/>
    <col min="5311" max="5311" width="68.28515625" customWidth="1"/>
    <col min="5312" max="5312" width="17.85546875" bestFit="1" customWidth="1"/>
    <col min="5313" max="5313" width="11.7109375" customWidth="1"/>
    <col min="5314" max="5314" width="10.7109375" customWidth="1"/>
    <col min="5315" max="5315" width="12" customWidth="1"/>
    <col min="5316" max="5316" width="14.85546875" customWidth="1"/>
    <col min="5317" max="5317" width="11.85546875" customWidth="1"/>
    <col min="5318" max="5318" width="10.42578125" customWidth="1"/>
    <col min="5320" max="5320" width="12.85546875" customWidth="1"/>
    <col min="5321" max="5321" width="16.140625" customWidth="1"/>
    <col min="5323" max="5323" width="15.140625" bestFit="1" customWidth="1"/>
    <col min="5567" max="5567" width="68.28515625" customWidth="1"/>
    <col min="5568" max="5568" width="17.85546875" bestFit="1" customWidth="1"/>
    <col min="5569" max="5569" width="11.7109375" customWidth="1"/>
    <col min="5570" max="5570" width="10.7109375" customWidth="1"/>
    <col min="5571" max="5571" width="12" customWidth="1"/>
    <col min="5572" max="5572" width="14.85546875" customWidth="1"/>
    <col min="5573" max="5573" width="11.85546875" customWidth="1"/>
    <col min="5574" max="5574" width="10.42578125" customWidth="1"/>
    <col min="5576" max="5576" width="12.85546875" customWidth="1"/>
    <col min="5577" max="5577" width="16.140625" customWidth="1"/>
    <col min="5579" max="5579" width="15.140625" bestFit="1" customWidth="1"/>
    <col min="5823" max="5823" width="68.28515625" customWidth="1"/>
    <col min="5824" max="5824" width="17.85546875" bestFit="1" customWidth="1"/>
    <col min="5825" max="5825" width="11.7109375" customWidth="1"/>
    <col min="5826" max="5826" width="10.7109375" customWidth="1"/>
    <col min="5827" max="5827" width="12" customWidth="1"/>
    <col min="5828" max="5828" width="14.85546875" customWidth="1"/>
    <col min="5829" max="5829" width="11.85546875" customWidth="1"/>
    <col min="5830" max="5830" width="10.42578125" customWidth="1"/>
    <col min="5832" max="5832" width="12.85546875" customWidth="1"/>
    <col min="5833" max="5833" width="16.140625" customWidth="1"/>
    <col min="5835" max="5835" width="15.140625" bestFit="1" customWidth="1"/>
    <col min="6079" max="6079" width="68.28515625" customWidth="1"/>
    <col min="6080" max="6080" width="17.85546875" bestFit="1" customWidth="1"/>
    <col min="6081" max="6081" width="11.7109375" customWidth="1"/>
    <col min="6082" max="6082" width="10.7109375" customWidth="1"/>
    <col min="6083" max="6083" width="12" customWidth="1"/>
    <col min="6084" max="6084" width="14.85546875" customWidth="1"/>
    <col min="6085" max="6085" width="11.85546875" customWidth="1"/>
    <col min="6086" max="6086" width="10.42578125" customWidth="1"/>
    <col min="6088" max="6088" width="12.85546875" customWidth="1"/>
    <col min="6089" max="6089" width="16.140625" customWidth="1"/>
    <col min="6091" max="6091" width="15.140625" bestFit="1" customWidth="1"/>
    <col min="6335" max="6335" width="68.28515625" customWidth="1"/>
    <col min="6336" max="6336" width="17.85546875" bestFit="1" customWidth="1"/>
    <col min="6337" max="6337" width="11.7109375" customWidth="1"/>
    <col min="6338" max="6338" width="10.7109375" customWidth="1"/>
    <col min="6339" max="6339" width="12" customWidth="1"/>
    <col min="6340" max="6340" width="14.85546875" customWidth="1"/>
    <col min="6341" max="6341" width="11.85546875" customWidth="1"/>
    <col min="6342" max="6342" width="10.42578125" customWidth="1"/>
    <col min="6344" max="6344" width="12.85546875" customWidth="1"/>
    <col min="6345" max="6345" width="16.140625" customWidth="1"/>
    <col min="6347" max="6347" width="15.140625" bestFit="1" customWidth="1"/>
    <col min="6591" max="6591" width="68.28515625" customWidth="1"/>
    <col min="6592" max="6592" width="17.85546875" bestFit="1" customWidth="1"/>
    <col min="6593" max="6593" width="11.7109375" customWidth="1"/>
    <col min="6594" max="6594" width="10.7109375" customWidth="1"/>
    <col min="6595" max="6595" width="12" customWidth="1"/>
    <col min="6596" max="6596" width="14.85546875" customWidth="1"/>
    <col min="6597" max="6597" width="11.85546875" customWidth="1"/>
    <col min="6598" max="6598" width="10.42578125" customWidth="1"/>
    <col min="6600" max="6600" width="12.85546875" customWidth="1"/>
    <col min="6601" max="6601" width="16.140625" customWidth="1"/>
    <col min="6603" max="6603" width="15.140625" bestFit="1" customWidth="1"/>
    <col min="6847" max="6847" width="68.28515625" customWidth="1"/>
    <col min="6848" max="6848" width="17.85546875" bestFit="1" customWidth="1"/>
    <col min="6849" max="6849" width="11.7109375" customWidth="1"/>
    <col min="6850" max="6850" width="10.7109375" customWidth="1"/>
    <col min="6851" max="6851" width="12" customWidth="1"/>
    <col min="6852" max="6852" width="14.85546875" customWidth="1"/>
    <col min="6853" max="6853" width="11.85546875" customWidth="1"/>
    <col min="6854" max="6854" width="10.42578125" customWidth="1"/>
    <col min="6856" max="6856" width="12.85546875" customWidth="1"/>
    <col min="6857" max="6857" width="16.140625" customWidth="1"/>
    <col min="6859" max="6859" width="15.140625" bestFit="1" customWidth="1"/>
    <col min="7103" max="7103" width="68.28515625" customWidth="1"/>
    <col min="7104" max="7104" width="17.85546875" bestFit="1" customWidth="1"/>
    <col min="7105" max="7105" width="11.7109375" customWidth="1"/>
    <col min="7106" max="7106" width="10.7109375" customWidth="1"/>
    <col min="7107" max="7107" width="12" customWidth="1"/>
    <col min="7108" max="7108" width="14.85546875" customWidth="1"/>
    <col min="7109" max="7109" width="11.85546875" customWidth="1"/>
    <col min="7110" max="7110" width="10.42578125" customWidth="1"/>
    <col min="7112" max="7112" width="12.85546875" customWidth="1"/>
    <col min="7113" max="7113" width="16.140625" customWidth="1"/>
    <col min="7115" max="7115" width="15.140625" bestFit="1" customWidth="1"/>
    <col min="7359" max="7359" width="68.28515625" customWidth="1"/>
    <col min="7360" max="7360" width="17.85546875" bestFit="1" customWidth="1"/>
    <col min="7361" max="7361" width="11.7109375" customWidth="1"/>
    <col min="7362" max="7362" width="10.7109375" customWidth="1"/>
    <col min="7363" max="7363" width="12" customWidth="1"/>
    <col min="7364" max="7364" width="14.85546875" customWidth="1"/>
    <col min="7365" max="7365" width="11.85546875" customWidth="1"/>
    <col min="7366" max="7366" width="10.42578125" customWidth="1"/>
    <col min="7368" max="7368" width="12.85546875" customWidth="1"/>
    <col min="7369" max="7369" width="16.140625" customWidth="1"/>
    <col min="7371" max="7371" width="15.140625" bestFit="1" customWidth="1"/>
    <col min="7615" max="7615" width="68.28515625" customWidth="1"/>
    <col min="7616" max="7616" width="17.85546875" bestFit="1" customWidth="1"/>
    <col min="7617" max="7617" width="11.7109375" customWidth="1"/>
    <col min="7618" max="7618" width="10.7109375" customWidth="1"/>
    <col min="7619" max="7619" width="12" customWidth="1"/>
    <col min="7620" max="7620" width="14.85546875" customWidth="1"/>
    <col min="7621" max="7621" width="11.85546875" customWidth="1"/>
    <col min="7622" max="7622" width="10.42578125" customWidth="1"/>
    <col min="7624" max="7624" width="12.85546875" customWidth="1"/>
    <col min="7625" max="7625" width="16.140625" customWidth="1"/>
    <col min="7627" max="7627" width="15.140625" bestFit="1" customWidth="1"/>
    <col min="7871" max="7871" width="68.28515625" customWidth="1"/>
    <col min="7872" max="7872" width="17.85546875" bestFit="1" customWidth="1"/>
    <col min="7873" max="7873" width="11.7109375" customWidth="1"/>
    <col min="7874" max="7874" width="10.7109375" customWidth="1"/>
    <col min="7875" max="7875" width="12" customWidth="1"/>
    <col min="7876" max="7876" width="14.85546875" customWidth="1"/>
    <col min="7877" max="7877" width="11.85546875" customWidth="1"/>
    <col min="7878" max="7878" width="10.42578125" customWidth="1"/>
    <col min="7880" max="7880" width="12.85546875" customWidth="1"/>
    <col min="7881" max="7881" width="16.140625" customWidth="1"/>
    <col min="7883" max="7883" width="15.140625" bestFit="1" customWidth="1"/>
    <col min="8127" max="8127" width="68.28515625" customWidth="1"/>
    <col min="8128" max="8128" width="17.85546875" bestFit="1" customWidth="1"/>
    <col min="8129" max="8129" width="11.7109375" customWidth="1"/>
    <col min="8130" max="8130" width="10.7109375" customWidth="1"/>
    <col min="8131" max="8131" width="12" customWidth="1"/>
    <col min="8132" max="8132" width="14.85546875" customWidth="1"/>
    <col min="8133" max="8133" width="11.85546875" customWidth="1"/>
    <col min="8134" max="8134" width="10.42578125" customWidth="1"/>
    <col min="8136" max="8136" width="12.85546875" customWidth="1"/>
    <col min="8137" max="8137" width="16.140625" customWidth="1"/>
    <col min="8139" max="8139" width="15.140625" bestFit="1" customWidth="1"/>
    <col min="8383" max="8383" width="68.28515625" customWidth="1"/>
    <col min="8384" max="8384" width="17.85546875" bestFit="1" customWidth="1"/>
    <col min="8385" max="8385" width="11.7109375" customWidth="1"/>
    <col min="8386" max="8386" width="10.7109375" customWidth="1"/>
    <col min="8387" max="8387" width="12" customWidth="1"/>
    <col min="8388" max="8388" width="14.85546875" customWidth="1"/>
    <col min="8389" max="8389" width="11.85546875" customWidth="1"/>
    <col min="8390" max="8390" width="10.42578125" customWidth="1"/>
    <col min="8392" max="8392" width="12.85546875" customWidth="1"/>
    <col min="8393" max="8393" width="16.140625" customWidth="1"/>
    <col min="8395" max="8395" width="15.140625" bestFit="1" customWidth="1"/>
    <col min="8639" max="8639" width="68.28515625" customWidth="1"/>
    <col min="8640" max="8640" width="17.85546875" bestFit="1" customWidth="1"/>
    <col min="8641" max="8641" width="11.7109375" customWidth="1"/>
    <col min="8642" max="8642" width="10.7109375" customWidth="1"/>
    <col min="8643" max="8643" width="12" customWidth="1"/>
    <col min="8644" max="8644" width="14.85546875" customWidth="1"/>
    <col min="8645" max="8645" width="11.85546875" customWidth="1"/>
    <col min="8646" max="8646" width="10.42578125" customWidth="1"/>
    <col min="8648" max="8648" width="12.85546875" customWidth="1"/>
    <col min="8649" max="8649" width="16.140625" customWidth="1"/>
    <col min="8651" max="8651" width="15.140625" bestFit="1" customWidth="1"/>
    <col min="8895" max="8895" width="68.28515625" customWidth="1"/>
    <col min="8896" max="8896" width="17.85546875" bestFit="1" customWidth="1"/>
    <col min="8897" max="8897" width="11.7109375" customWidth="1"/>
    <col min="8898" max="8898" width="10.7109375" customWidth="1"/>
    <col min="8899" max="8899" width="12" customWidth="1"/>
    <col min="8900" max="8900" width="14.85546875" customWidth="1"/>
    <col min="8901" max="8901" width="11.85546875" customWidth="1"/>
    <col min="8902" max="8902" width="10.42578125" customWidth="1"/>
    <col min="8904" max="8904" width="12.85546875" customWidth="1"/>
    <col min="8905" max="8905" width="16.140625" customWidth="1"/>
    <col min="8907" max="8907" width="15.140625" bestFit="1" customWidth="1"/>
    <col min="9151" max="9151" width="68.28515625" customWidth="1"/>
    <col min="9152" max="9152" width="17.85546875" bestFit="1" customWidth="1"/>
    <col min="9153" max="9153" width="11.7109375" customWidth="1"/>
    <col min="9154" max="9154" width="10.7109375" customWidth="1"/>
    <col min="9155" max="9155" width="12" customWidth="1"/>
    <col min="9156" max="9156" width="14.85546875" customWidth="1"/>
    <col min="9157" max="9157" width="11.85546875" customWidth="1"/>
    <col min="9158" max="9158" width="10.42578125" customWidth="1"/>
    <col min="9160" max="9160" width="12.85546875" customWidth="1"/>
    <col min="9161" max="9161" width="16.140625" customWidth="1"/>
    <col min="9163" max="9163" width="15.140625" bestFit="1" customWidth="1"/>
    <col min="9407" max="9407" width="68.28515625" customWidth="1"/>
    <col min="9408" max="9408" width="17.85546875" bestFit="1" customWidth="1"/>
    <col min="9409" max="9409" width="11.7109375" customWidth="1"/>
    <col min="9410" max="9410" width="10.7109375" customWidth="1"/>
    <col min="9411" max="9411" width="12" customWidth="1"/>
    <col min="9412" max="9412" width="14.85546875" customWidth="1"/>
    <col min="9413" max="9413" width="11.85546875" customWidth="1"/>
    <col min="9414" max="9414" width="10.42578125" customWidth="1"/>
    <col min="9416" max="9416" width="12.85546875" customWidth="1"/>
    <col min="9417" max="9417" width="16.140625" customWidth="1"/>
    <col min="9419" max="9419" width="15.140625" bestFit="1" customWidth="1"/>
    <col min="9663" max="9663" width="68.28515625" customWidth="1"/>
    <col min="9664" max="9664" width="17.85546875" bestFit="1" customWidth="1"/>
    <col min="9665" max="9665" width="11.7109375" customWidth="1"/>
    <col min="9666" max="9666" width="10.7109375" customWidth="1"/>
    <col min="9667" max="9667" width="12" customWidth="1"/>
    <col min="9668" max="9668" width="14.85546875" customWidth="1"/>
    <col min="9669" max="9669" width="11.85546875" customWidth="1"/>
    <col min="9670" max="9670" width="10.42578125" customWidth="1"/>
    <col min="9672" max="9672" width="12.85546875" customWidth="1"/>
    <col min="9673" max="9673" width="16.140625" customWidth="1"/>
    <col min="9675" max="9675" width="15.140625" bestFit="1" customWidth="1"/>
    <col min="9919" max="9919" width="68.28515625" customWidth="1"/>
    <col min="9920" max="9920" width="17.85546875" bestFit="1" customWidth="1"/>
    <col min="9921" max="9921" width="11.7109375" customWidth="1"/>
    <col min="9922" max="9922" width="10.7109375" customWidth="1"/>
    <col min="9923" max="9923" width="12" customWidth="1"/>
    <col min="9924" max="9924" width="14.85546875" customWidth="1"/>
    <col min="9925" max="9925" width="11.85546875" customWidth="1"/>
    <col min="9926" max="9926" width="10.42578125" customWidth="1"/>
    <col min="9928" max="9928" width="12.85546875" customWidth="1"/>
    <col min="9929" max="9929" width="16.140625" customWidth="1"/>
    <col min="9931" max="9931" width="15.140625" bestFit="1" customWidth="1"/>
    <col min="10175" max="10175" width="68.28515625" customWidth="1"/>
    <col min="10176" max="10176" width="17.85546875" bestFit="1" customWidth="1"/>
    <col min="10177" max="10177" width="11.7109375" customWidth="1"/>
    <col min="10178" max="10178" width="10.7109375" customWidth="1"/>
    <col min="10179" max="10179" width="12" customWidth="1"/>
    <col min="10180" max="10180" width="14.85546875" customWidth="1"/>
    <col min="10181" max="10181" width="11.85546875" customWidth="1"/>
    <col min="10182" max="10182" width="10.42578125" customWidth="1"/>
    <col min="10184" max="10184" width="12.85546875" customWidth="1"/>
    <col min="10185" max="10185" width="16.140625" customWidth="1"/>
    <col min="10187" max="10187" width="15.140625" bestFit="1" customWidth="1"/>
    <col min="10431" max="10431" width="68.28515625" customWidth="1"/>
    <col min="10432" max="10432" width="17.85546875" bestFit="1" customWidth="1"/>
    <col min="10433" max="10433" width="11.7109375" customWidth="1"/>
    <col min="10434" max="10434" width="10.7109375" customWidth="1"/>
    <col min="10435" max="10435" width="12" customWidth="1"/>
    <col min="10436" max="10436" width="14.85546875" customWidth="1"/>
    <col min="10437" max="10437" width="11.85546875" customWidth="1"/>
    <col min="10438" max="10438" width="10.42578125" customWidth="1"/>
    <col min="10440" max="10440" width="12.85546875" customWidth="1"/>
    <col min="10441" max="10441" width="16.140625" customWidth="1"/>
    <col min="10443" max="10443" width="15.140625" bestFit="1" customWidth="1"/>
    <col min="10687" max="10687" width="68.28515625" customWidth="1"/>
    <col min="10688" max="10688" width="17.85546875" bestFit="1" customWidth="1"/>
    <col min="10689" max="10689" width="11.7109375" customWidth="1"/>
    <col min="10690" max="10690" width="10.7109375" customWidth="1"/>
    <col min="10691" max="10691" width="12" customWidth="1"/>
    <col min="10692" max="10692" width="14.85546875" customWidth="1"/>
    <col min="10693" max="10693" width="11.85546875" customWidth="1"/>
    <col min="10694" max="10694" width="10.42578125" customWidth="1"/>
    <col min="10696" max="10696" width="12.85546875" customWidth="1"/>
    <col min="10697" max="10697" width="16.140625" customWidth="1"/>
    <col min="10699" max="10699" width="15.140625" bestFit="1" customWidth="1"/>
    <col min="10943" max="10943" width="68.28515625" customWidth="1"/>
    <col min="10944" max="10944" width="17.85546875" bestFit="1" customWidth="1"/>
    <col min="10945" max="10945" width="11.7109375" customWidth="1"/>
    <col min="10946" max="10946" width="10.7109375" customWidth="1"/>
    <col min="10947" max="10947" width="12" customWidth="1"/>
    <col min="10948" max="10948" width="14.85546875" customWidth="1"/>
    <col min="10949" max="10949" width="11.85546875" customWidth="1"/>
    <col min="10950" max="10950" width="10.42578125" customWidth="1"/>
    <col min="10952" max="10952" width="12.85546875" customWidth="1"/>
    <col min="10953" max="10953" width="16.140625" customWidth="1"/>
    <col min="10955" max="10955" width="15.140625" bestFit="1" customWidth="1"/>
    <col min="11199" max="11199" width="68.28515625" customWidth="1"/>
    <col min="11200" max="11200" width="17.85546875" bestFit="1" customWidth="1"/>
    <col min="11201" max="11201" width="11.7109375" customWidth="1"/>
    <col min="11202" max="11202" width="10.7109375" customWidth="1"/>
    <col min="11203" max="11203" width="12" customWidth="1"/>
    <col min="11204" max="11204" width="14.85546875" customWidth="1"/>
    <col min="11205" max="11205" width="11.85546875" customWidth="1"/>
    <col min="11206" max="11206" width="10.42578125" customWidth="1"/>
    <col min="11208" max="11208" width="12.85546875" customWidth="1"/>
    <col min="11209" max="11209" width="16.140625" customWidth="1"/>
    <col min="11211" max="11211" width="15.140625" bestFit="1" customWidth="1"/>
    <col min="11455" max="11455" width="68.28515625" customWidth="1"/>
    <col min="11456" max="11456" width="17.85546875" bestFit="1" customWidth="1"/>
    <col min="11457" max="11457" width="11.7109375" customWidth="1"/>
    <col min="11458" max="11458" width="10.7109375" customWidth="1"/>
    <col min="11459" max="11459" width="12" customWidth="1"/>
    <col min="11460" max="11460" width="14.85546875" customWidth="1"/>
    <col min="11461" max="11461" width="11.85546875" customWidth="1"/>
    <col min="11462" max="11462" width="10.42578125" customWidth="1"/>
    <col min="11464" max="11464" width="12.85546875" customWidth="1"/>
    <col min="11465" max="11465" width="16.140625" customWidth="1"/>
    <col min="11467" max="11467" width="15.140625" bestFit="1" customWidth="1"/>
    <col min="11711" max="11711" width="68.28515625" customWidth="1"/>
    <col min="11712" max="11712" width="17.85546875" bestFit="1" customWidth="1"/>
    <col min="11713" max="11713" width="11.7109375" customWidth="1"/>
    <col min="11714" max="11714" width="10.7109375" customWidth="1"/>
    <col min="11715" max="11715" width="12" customWidth="1"/>
    <col min="11716" max="11716" width="14.85546875" customWidth="1"/>
    <col min="11717" max="11717" width="11.85546875" customWidth="1"/>
    <col min="11718" max="11718" width="10.42578125" customWidth="1"/>
    <col min="11720" max="11720" width="12.85546875" customWidth="1"/>
    <col min="11721" max="11721" width="16.140625" customWidth="1"/>
    <col min="11723" max="11723" width="15.140625" bestFit="1" customWidth="1"/>
    <col min="11967" max="11967" width="68.28515625" customWidth="1"/>
    <col min="11968" max="11968" width="17.85546875" bestFit="1" customWidth="1"/>
    <col min="11969" max="11969" width="11.7109375" customWidth="1"/>
    <col min="11970" max="11970" width="10.7109375" customWidth="1"/>
    <col min="11971" max="11971" width="12" customWidth="1"/>
    <col min="11972" max="11972" width="14.85546875" customWidth="1"/>
    <col min="11973" max="11973" width="11.85546875" customWidth="1"/>
    <col min="11974" max="11974" width="10.42578125" customWidth="1"/>
    <col min="11976" max="11976" width="12.85546875" customWidth="1"/>
    <col min="11977" max="11977" width="16.140625" customWidth="1"/>
    <col min="11979" max="11979" width="15.140625" bestFit="1" customWidth="1"/>
    <col min="12223" max="12223" width="68.28515625" customWidth="1"/>
    <col min="12224" max="12224" width="17.85546875" bestFit="1" customWidth="1"/>
    <col min="12225" max="12225" width="11.7109375" customWidth="1"/>
    <col min="12226" max="12226" width="10.7109375" customWidth="1"/>
    <col min="12227" max="12227" width="12" customWidth="1"/>
    <col min="12228" max="12228" width="14.85546875" customWidth="1"/>
    <col min="12229" max="12229" width="11.85546875" customWidth="1"/>
    <col min="12230" max="12230" width="10.42578125" customWidth="1"/>
    <col min="12232" max="12232" width="12.85546875" customWidth="1"/>
    <col min="12233" max="12233" width="16.140625" customWidth="1"/>
    <col min="12235" max="12235" width="15.140625" bestFit="1" customWidth="1"/>
    <col min="12479" max="12479" width="68.28515625" customWidth="1"/>
    <col min="12480" max="12480" width="17.85546875" bestFit="1" customWidth="1"/>
    <col min="12481" max="12481" width="11.7109375" customWidth="1"/>
    <col min="12482" max="12482" width="10.7109375" customWidth="1"/>
    <col min="12483" max="12483" width="12" customWidth="1"/>
    <col min="12484" max="12484" width="14.85546875" customWidth="1"/>
    <col min="12485" max="12485" width="11.85546875" customWidth="1"/>
    <col min="12486" max="12486" width="10.42578125" customWidth="1"/>
    <col min="12488" max="12488" width="12.85546875" customWidth="1"/>
    <col min="12489" max="12489" width="16.140625" customWidth="1"/>
    <col min="12491" max="12491" width="15.140625" bestFit="1" customWidth="1"/>
    <col min="12735" max="12735" width="68.28515625" customWidth="1"/>
    <col min="12736" max="12736" width="17.85546875" bestFit="1" customWidth="1"/>
    <col min="12737" max="12737" width="11.7109375" customWidth="1"/>
    <col min="12738" max="12738" width="10.7109375" customWidth="1"/>
    <col min="12739" max="12739" width="12" customWidth="1"/>
    <col min="12740" max="12740" width="14.85546875" customWidth="1"/>
    <col min="12741" max="12741" width="11.85546875" customWidth="1"/>
    <col min="12742" max="12742" width="10.42578125" customWidth="1"/>
    <col min="12744" max="12744" width="12.85546875" customWidth="1"/>
    <col min="12745" max="12745" width="16.140625" customWidth="1"/>
    <col min="12747" max="12747" width="15.140625" bestFit="1" customWidth="1"/>
    <col min="12991" max="12991" width="68.28515625" customWidth="1"/>
    <col min="12992" max="12992" width="17.85546875" bestFit="1" customWidth="1"/>
    <col min="12993" max="12993" width="11.7109375" customWidth="1"/>
    <col min="12994" max="12994" width="10.7109375" customWidth="1"/>
    <col min="12995" max="12995" width="12" customWidth="1"/>
    <col min="12996" max="12996" width="14.85546875" customWidth="1"/>
    <col min="12997" max="12997" width="11.85546875" customWidth="1"/>
    <col min="12998" max="12998" width="10.42578125" customWidth="1"/>
    <col min="13000" max="13000" width="12.85546875" customWidth="1"/>
    <col min="13001" max="13001" width="16.140625" customWidth="1"/>
    <col min="13003" max="13003" width="15.140625" bestFit="1" customWidth="1"/>
    <col min="13247" max="13247" width="68.28515625" customWidth="1"/>
    <col min="13248" max="13248" width="17.85546875" bestFit="1" customWidth="1"/>
    <col min="13249" max="13249" width="11.7109375" customWidth="1"/>
    <col min="13250" max="13250" width="10.7109375" customWidth="1"/>
    <col min="13251" max="13251" width="12" customWidth="1"/>
    <col min="13252" max="13252" width="14.85546875" customWidth="1"/>
    <col min="13253" max="13253" width="11.85546875" customWidth="1"/>
    <col min="13254" max="13254" width="10.42578125" customWidth="1"/>
    <col min="13256" max="13256" width="12.85546875" customWidth="1"/>
    <col min="13257" max="13257" width="16.140625" customWidth="1"/>
    <col min="13259" max="13259" width="15.140625" bestFit="1" customWidth="1"/>
    <col min="13503" max="13503" width="68.28515625" customWidth="1"/>
    <col min="13504" max="13504" width="17.85546875" bestFit="1" customWidth="1"/>
    <col min="13505" max="13505" width="11.7109375" customWidth="1"/>
    <col min="13506" max="13506" width="10.7109375" customWidth="1"/>
    <col min="13507" max="13507" width="12" customWidth="1"/>
    <col min="13508" max="13508" width="14.85546875" customWidth="1"/>
    <col min="13509" max="13509" width="11.85546875" customWidth="1"/>
    <col min="13510" max="13510" width="10.42578125" customWidth="1"/>
    <col min="13512" max="13512" width="12.85546875" customWidth="1"/>
    <col min="13513" max="13513" width="16.140625" customWidth="1"/>
    <col min="13515" max="13515" width="15.140625" bestFit="1" customWidth="1"/>
    <col min="13759" max="13759" width="68.28515625" customWidth="1"/>
    <col min="13760" max="13760" width="17.85546875" bestFit="1" customWidth="1"/>
    <col min="13761" max="13761" width="11.7109375" customWidth="1"/>
    <col min="13762" max="13762" width="10.7109375" customWidth="1"/>
    <col min="13763" max="13763" width="12" customWidth="1"/>
    <col min="13764" max="13764" width="14.85546875" customWidth="1"/>
    <col min="13765" max="13765" width="11.85546875" customWidth="1"/>
    <col min="13766" max="13766" width="10.42578125" customWidth="1"/>
    <col min="13768" max="13768" width="12.85546875" customWidth="1"/>
    <col min="13769" max="13769" width="16.140625" customWidth="1"/>
    <col min="13771" max="13771" width="15.140625" bestFit="1" customWidth="1"/>
    <col min="14015" max="14015" width="68.28515625" customWidth="1"/>
    <col min="14016" max="14016" width="17.85546875" bestFit="1" customWidth="1"/>
    <col min="14017" max="14017" width="11.7109375" customWidth="1"/>
    <col min="14018" max="14018" width="10.7109375" customWidth="1"/>
    <col min="14019" max="14019" width="12" customWidth="1"/>
    <col min="14020" max="14020" width="14.85546875" customWidth="1"/>
    <col min="14021" max="14021" width="11.85546875" customWidth="1"/>
    <col min="14022" max="14022" width="10.42578125" customWidth="1"/>
    <col min="14024" max="14024" width="12.85546875" customWidth="1"/>
    <col min="14025" max="14025" width="16.140625" customWidth="1"/>
    <col min="14027" max="14027" width="15.140625" bestFit="1" customWidth="1"/>
    <col min="14271" max="14271" width="68.28515625" customWidth="1"/>
    <col min="14272" max="14272" width="17.85546875" bestFit="1" customWidth="1"/>
    <col min="14273" max="14273" width="11.7109375" customWidth="1"/>
    <col min="14274" max="14274" width="10.7109375" customWidth="1"/>
    <col min="14275" max="14275" width="12" customWidth="1"/>
    <col min="14276" max="14276" width="14.85546875" customWidth="1"/>
    <col min="14277" max="14277" width="11.85546875" customWidth="1"/>
    <col min="14278" max="14278" width="10.42578125" customWidth="1"/>
    <col min="14280" max="14280" width="12.85546875" customWidth="1"/>
    <col min="14281" max="14281" width="16.140625" customWidth="1"/>
    <col min="14283" max="14283" width="15.140625" bestFit="1" customWidth="1"/>
    <col min="14527" max="14527" width="68.28515625" customWidth="1"/>
    <col min="14528" max="14528" width="17.85546875" bestFit="1" customWidth="1"/>
    <col min="14529" max="14529" width="11.7109375" customWidth="1"/>
    <col min="14530" max="14530" width="10.7109375" customWidth="1"/>
    <col min="14531" max="14531" width="12" customWidth="1"/>
    <col min="14532" max="14532" width="14.85546875" customWidth="1"/>
    <col min="14533" max="14533" width="11.85546875" customWidth="1"/>
    <col min="14534" max="14534" width="10.42578125" customWidth="1"/>
    <col min="14536" max="14536" width="12.85546875" customWidth="1"/>
    <col min="14537" max="14537" width="16.140625" customWidth="1"/>
    <col min="14539" max="14539" width="15.140625" bestFit="1" customWidth="1"/>
    <col min="14783" max="14783" width="68.28515625" customWidth="1"/>
    <col min="14784" max="14784" width="17.85546875" bestFit="1" customWidth="1"/>
    <col min="14785" max="14785" width="11.7109375" customWidth="1"/>
    <col min="14786" max="14786" width="10.7109375" customWidth="1"/>
    <col min="14787" max="14787" width="12" customWidth="1"/>
    <col min="14788" max="14788" width="14.85546875" customWidth="1"/>
    <col min="14789" max="14789" width="11.85546875" customWidth="1"/>
    <col min="14790" max="14790" width="10.42578125" customWidth="1"/>
    <col min="14792" max="14792" width="12.85546875" customWidth="1"/>
    <col min="14793" max="14793" width="16.140625" customWidth="1"/>
    <col min="14795" max="14795" width="15.140625" bestFit="1" customWidth="1"/>
    <col min="15039" max="15039" width="68.28515625" customWidth="1"/>
    <col min="15040" max="15040" width="17.85546875" bestFit="1" customWidth="1"/>
    <col min="15041" max="15041" width="11.7109375" customWidth="1"/>
    <col min="15042" max="15042" width="10.7109375" customWidth="1"/>
    <col min="15043" max="15043" width="12" customWidth="1"/>
    <col min="15044" max="15044" width="14.85546875" customWidth="1"/>
    <col min="15045" max="15045" width="11.85546875" customWidth="1"/>
    <col min="15046" max="15046" width="10.42578125" customWidth="1"/>
    <col min="15048" max="15048" width="12.85546875" customWidth="1"/>
    <col min="15049" max="15049" width="16.140625" customWidth="1"/>
    <col min="15051" max="15051" width="15.140625" bestFit="1" customWidth="1"/>
    <col min="15295" max="15295" width="68.28515625" customWidth="1"/>
    <col min="15296" max="15296" width="17.85546875" bestFit="1" customWidth="1"/>
    <col min="15297" max="15297" width="11.7109375" customWidth="1"/>
    <col min="15298" max="15298" width="10.7109375" customWidth="1"/>
    <col min="15299" max="15299" width="12" customWidth="1"/>
    <col min="15300" max="15300" width="14.85546875" customWidth="1"/>
    <col min="15301" max="15301" width="11.85546875" customWidth="1"/>
    <col min="15302" max="15302" width="10.42578125" customWidth="1"/>
    <col min="15304" max="15304" width="12.85546875" customWidth="1"/>
    <col min="15305" max="15305" width="16.140625" customWidth="1"/>
    <col min="15307" max="15307" width="15.140625" bestFit="1" customWidth="1"/>
    <col min="15551" max="15551" width="68.28515625" customWidth="1"/>
    <col min="15552" max="15552" width="17.85546875" bestFit="1" customWidth="1"/>
    <col min="15553" max="15553" width="11.7109375" customWidth="1"/>
    <col min="15554" max="15554" width="10.7109375" customWidth="1"/>
    <col min="15555" max="15555" width="12" customWidth="1"/>
    <col min="15556" max="15556" width="14.85546875" customWidth="1"/>
    <col min="15557" max="15557" width="11.85546875" customWidth="1"/>
    <col min="15558" max="15558" width="10.42578125" customWidth="1"/>
    <col min="15560" max="15560" width="12.85546875" customWidth="1"/>
    <col min="15561" max="15561" width="16.140625" customWidth="1"/>
    <col min="15563" max="15563" width="15.140625" bestFit="1" customWidth="1"/>
    <col min="15807" max="15807" width="68.28515625" customWidth="1"/>
    <col min="15808" max="15808" width="17.85546875" bestFit="1" customWidth="1"/>
    <col min="15809" max="15809" width="11.7109375" customWidth="1"/>
    <col min="15810" max="15810" width="10.7109375" customWidth="1"/>
    <col min="15811" max="15811" width="12" customWidth="1"/>
    <col min="15812" max="15812" width="14.85546875" customWidth="1"/>
    <col min="15813" max="15813" width="11.85546875" customWidth="1"/>
    <col min="15814" max="15814" width="10.42578125" customWidth="1"/>
    <col min="15816" max="15816" width="12.85546875" customWidth="1"/>
    <col min="15817" max="15817" width="16.140625" customWidth="1"/>
    <col min="15819" max="15819" width="15.140625" bestFit="1" customWidth="1"/>
    <col min="16063" max="16063" width="68.28515625" customWidth="1"/>
    <col min="16064" max="16064" width="17.85546875" bestFit="1" customWidth="1"/>
    <col min="16065" max="16065" width="11.7109375" customWidth="1"/>
    <col min="16066" max="16066" width="10.7109375" customWidth="1"/>
    <col min="16067" max="16067" width="12" customWidth="1"/>
    <col min="16068" max="16068" width="14.85546875" customWidth="1"/>
    <col min="16069" max="16069" width="11.85546875" customWidth="1"/>
    <col min="16070" max="16070" width="10.42578125" customWidth="1"/>
    <col min="16072" max="16072" width="12.85546875" customWidth="1"/>
    <col min="16073" max="16073" width="16.140625" customWidth="1"/>
    <col min="16075" max="16075" width="15.140625" bestFit="1" customWidth="1"/>
  </cols>
  <sheetData>
    <row r="2" spans="1:4" x14ac:dyDescent="0.25">
      <c r="C2" s="87" t="s">
        <v>30</v>
      </c>
    </row>
    <row r="4" spans="1:4" ht="30" x14ac:dyDescent="0.25">
      <c r="A4" s="89" t="s">
        <v>4</v>
      </c>
      <c r="B4" s="159" t="s">
        <v>163</v>
      </c>
      <c r="C4" s="48" t="s">
        <v>125</v>
      </c>
      <c r="D4" s="86" t="s">
        <v>164</v>
      </c>
    </row>
    <row r="5" spans="1:4" ht="30" x14ac:dyDescent="0.25">
      <c r="A5" s="89">
        <v>1</v>
      </c>
      <c r="B5" s="159" t="s">
        <v>161</v>
      </c>
      <c r="C5" s="48" t="s">
        <v>2</v>
      </c>
      <c r="D5" s="94">
        <f>'2019-სტაციონარი'!Q5</f>
        <v>106000</v>
      </c>
    </row>
    <row r="6" spans="1:4" x14ac:dyDescent="0.25">
      <c r="A6" s="89">
        <v>2</v>
      </c>
      <c r="B6" s="159" t="s">
        <v>161</v>
      </c>
      <c r="C6" s="48" t="s">
        <v>146</v>
      </c>
      <c r="D6" s="94">
        <f>'2019-სტაციონარი'!Q6</f>
        <v>45100</v>
      </c>
    </row>
    <row r="7" spans="1:4" ht="30" x14ac:dyDescent="0.25">
      <c r="A7" s="89">
        <v>3</v>
      </c>
      <c r="B7" s="159" t="s">
        <v>112</v>
      </c>
      <c r="C7" s="48" t="s">
        <v>1</v>
      </c>
      <c r="D7" s="94">
        <f>'2019-სტაციონარი'!Q7</f>
        <v>28300</v>
      </c>
    </row>
    <row r="8" spans="1:4" ht="45" x14ac:dyDescent="0.25">
      <c r="A8" s="89">
        <v>4</v>
      </c>
      <c r="B8" s="159" t="s">
        <v>142</v>
      </c>
      <c r="C8" s="48" t="s">
        <v>177</v>
      </c>
      <c r="D8" s="94">
        <f>'2019-სტაციონარი'!Q8</f>
        <v>122500</v>
      </c>
    </row>
    <row r="9" spans="1:4" ht="30" x14ac:dyDescent="0.25">
      <c r="A9" s="89">
        <v>5</v>
      </c>
      <c r="B9" s="159" t="s">
        <v>161</v>
      </c>
      <c r="C9" s="48" t="s">
        <v>26</v>
      </c>
      <c r="D9" s="94">
        <f>'2019-სტაციონარი'!Q9</f>
        <v>174600</v>
      </c>
    </row>
    <row r="10" spans="1:4" x14ac:dyDescent="0.25">
      <c r="A10" s="89">
        <v>6</v>
      </c>
      <c r="B10" s="159" t="s">
        <v>161</v>
      </c>
      <c r="C10" s="195" t="s">
        <v>247</v>
      </c>
      <c r="D10" s="94">
        <f>'2019-სტაციონარი'!Q10</f>
        <v>39400</v>
      </c>
    </row>
    <row r="11" spans="1:4" ht="30" x14ac:dyDescent="0.25">
      <c r="A11" s="89">
        <v>7</v>
      </c>
      <c r="B11" s="159" t="s">
        <v>110</v>
      </c>
      <c r="C11" s="48" t="s">
        <v>28</v>
      </c>
      <c r="D11" s="94">
        <f>'2019-სტაციონარი'!Q11</f>
        <v>32000</v>
      </c>
    </row>
    <row r="12" spans="1:4" ht="30" x14ac:dyDescent="0.25">
      <c r="A12" s="89">
        <v>8</v>
      </c>
      <c r="B12" s="159" t="s">
        <v>112</v>
      </c>
      <c r="C12" s="48" t="s">
        <v>0</v>
      </c>
      <c r="D12" s="94">
        <f>'2019-სტაციონარი'!Q12</f>
        <v>359100</v>
      </c>
    </row>
    <row r="13" spans="1:4" ht="45" x14ac:dyDescent="0.25">
      <c r="A13" s="89">
        <v>9</v>
      </c>
      <c r="B13" s="159" t="s">
        <v>124</v>
      </c>
      <c r="C13" s="48" t="s">
        <v>242</v>
      </c>
      <c r="D13" s="94">
        <f>'2019-სტაციონარი'!Q13</f>
        <v>17600</v>
      </c>
    </row>
    <row r="14" spans="1:4" ht="65.25" customHeight="1" x14ac:dyDescent="0.25">
      <c r="A14" s="89">
        <v>10</v>
      </c>
      <c r="B14" s="159" t="s">
        <v>162</v>
      </c>
      <c r="C14" s="88" t="s">
        <v>147</v>
      </c>
      <c r="D14" s="94">
        <f>'2019-სტაციონარი'!Q14</f>
        <v>158200</v>
      </c>
    </row>
    <row r="15" spans="1:4" ht="65.25" customHeight="1" x14ac:dyDescent="0.25">
      <c r="A15" s="89">
        <v>11</v>
      </c>
      <c r="B15" s="187" t="s">
        <v>112</v>
      </c>
      <c r="C15" s="190" t="s">
        <v>244</v>
      </c>
      <c r="D15" s="191">
        <v>23460</v>
      </c>
    </row>
    <row r="16" spans="1:4" ht="15.75" x14ac:dyDescent="0.25">
      <c r="C16" s="36" t="s">
        <v>39</v>
      </c>
      <c r="D16" s="91">
        <f>SUM(D5:D15)</f>
        <v>1106260</v>
      </c>
    </row>
    <row r="18" spans="3:4" x14ac:dyDescent="0.25">
      <c r="C18"/>
      <c r="D18" s="92"/>
    </row>
    <row r="19" spans="3:4" x14ac:dyDescent="0.25">
      <c r="C19" s="102"/>
      <c r="D19" s="92"/>
    </row>
    <row r="20" spans="3:4" x14ac:dyDescent="0.25">
      <c r="C20" s="103"/>
      <c r="D20" s="92"/>
    </row>
    <row r="21" spans="3:4" x14ac:dyDescent="0.25">
      <c r="C21" s="102"/>
      <c r="D21" s="92"/>
    </row>
    <row r="22" spans="3:4" x14ac:dyDescent="0.25">
      <c r="C22" s="102"/>
      <c r="D22" s="92"/>
    </row>
    <row r="23" spans="3:4" x14ac:dyDescent="0.25">
      <c r="C23" s="102"/>
      <c r="D23" s="92"/>
    </row>
    <row r="24" spans="3:4" x14ac:dyDescent="0.25">
      <c r="C24" s="102"/>
      <c r="D24" s="92"/>
    </row>
    <row r="25" spans="3:4" x14ac:dyDescent="0.25">
      <c r="C25"/>
      <c r="D25" s="92"/>
    </row>
    <row r="26" spans="3:4" x14ac:dyDescent="0.25">
      <c r="C26" s="102"/>
      <c r="D26" s="93"/>
    </row>
    <row r="28" spans="3:4" x14ac:dyDescent="0.25">
      <c r="C28" s="106"/>
      <c r="D28" s="92"/>
    </row>
    <row r="30" spans="3:4" x14ac:dyDescent="0.25">
      <c r="C30"/>
      <c r="D30" s="9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2"/>
  <sheetViews>
    <sheetView topLeftCell="B10" workbookViewId="0">
      <selection activeCell="M34" sqref="M34"/>
    </sheetView>
  </sheetViews>
  <sheetFormatPr defaultRowHeight="15" x14ac:dyDescent="0.25"/>
  <cols>
    <col min="1" max="1" width="53.5703125" customWidth="1"/>
    <col min="2" max="2" width="3" bestFit="1" customWidth="1"/>
    <col min="3" max="3" width="4" bestFit="1" customWidth="1"/>
    <col min="4" max="4" width="11.42578125" customWidth="1"/>
    <col min="5" max="5" width="10" customWidth="1"/>
    <col min="6" max="6" width="15" customWidth="1"/>
    <col min="7" max="7" width="14.5703125" customWidth="1"/>
    <col min="8" max="8" width="16.42578125" customWidth="1"/>
    <col min="9" max="9" width="10.42578125" customWidth="1"/>
    <col min="10" max="10" width="8.5703125" customWidth="1"/>
    <col min="11" max="11" width="11.5703125" customWidth="1"/>
    <col min="12" max="13" width="14.140625" customWidth="1"/>
    <col min="14" max="16" width="17.140625" customWidth="1"/>
    <col min="17" max="18" width="17.7109375" customWidth="1"/>
    <col min="19" max="19" width="9.140625" customWidth="1"/>
    <col min="233" max="233" width="68.28515625" customWidth="1"/>
    <col min="234" max="234" width="17.85546875" bestFit="1" customWidth="1"/>
    <col min="235" max="235" width="11.7109375" customWidth="1"/>
    <col min="236" max="236" width="10.7109375" customWidth="1"/>
    <col min="237" max="237" width="12" customWidth="1"/>
    <col min="238" max="238" width="14.85546875" customWidth="1"/>
    <col min="239" max="239" width="11.85546875" customWidth="1"/>
    <col min="240" max="240" width="10.42578125" customWidth="1"/>
    <col min="242" max="242" width="12.85546875" customWidth="1"/>
    <col min="243" max="243" width="16.140625" customWidth="1"/>
    <col min="245" max="245" width="15.140625" bestFit="1" customWidth="1"/>
    <col min="489" max="489" width="68.28515625" customWidth="1"/>
    <col min="490" max="490" width="17.85546875" bestFit="1" customWidth="1"/>
    <col min="491" max="491" width="11.7109375" customWidth="1"/>
    <col min="492" max="492" width="10.7109375" customWidth="1"/>
    <col min="493" max="493" width="12" customWidth="1"/>
    <col min="494" max="494" width="14.85546875" customWidth="1"/>
    <col min="495" max="495" width="11.85546875" customWidth="1"/>
    <col min="496" max="496" width="10.42578125" customWidth="1"/>
    <col min="498" max="498" width="12.85546875" customWidth="1"/>
    <col min="499" max="499" width="16.140625" customWidth="1"/>
    <col min="501" max="501" width="15.140625" bestFit="1" customWidth="1"/>
    <col min="745" max="745" width="68.28515625" customWidth="1"/>
    <col min="746" max="746" width="17.85546875" bestFit="1" customWidth="1"/>
    <col min="747" max="747" width="11.7109375" customWidth="1"/>
    <col min="748" max="748" width="10.7109375" customWidth="1"/>
    <col min="749" max="749" width="12" customWidth="1"/>
    <col min="750" max="750" width="14.85546875" customWidth="1"/>
    <col min="751" max="751" width="11.85546875" customWidth="1"/>
    <col min="752" max="752" width="10.42578125" customWidth="1"/>
    <col min="754" max="754" width="12.85546875" customWidth="1"/>
    <col min="755" max="755" width="16.140625" customWidth="1"/>
    <col min="757" max="757" width="15.140625" bestFit="1" customWidth="1"/>
    <col min="1001" max="1001" width="68.28515625" customWidth="1"/>
    <col min="1002" max="1002" width="17.85546875" bestFit="1" customWidth="1"/>
    <col min="1003" max="1003" width="11.7109375" customWidth="1"/>
    <col min="1004" max="1004" width="10.7109375" customWidth="1"/>
    <col min="1005" max="1005" width="12" customWidth="1"/>
    <col min="1006" max="1006" width="14.85546875" customWidth="1"/>
    <col min="1007" max="1007" width="11.85546875" customWidth="1"/>
    <col min="1008" max="1008" width="10.42578125" customWidth="1"/>
    <col min="1010" max="1010" width="12.85546875" customWidth="1"/>
    <col min="1011" max="1011" width="16.140625" customWidth="1"/>
    <col min="1013" max="1013" width="15.140625" bestFit="1" customWidth="1"/>
    <col min="1257" max="1257" width="68.28515625" customWidth="1"/>
    <col min="1258" max="1258" width="17.85546875" bestFit="1" customWidth="1"/>
    <col min="1259" max="1259" width="11.7109375" customWidth="1"/>
    <col min="1260" max="1260" width="10.7109375" customWidth="1"/>
    <col min="1261" max="1261" width="12" customWidth="1"/>
    <col min="1262" max="1262" width="14.85546875" customWidth="1"/>
    <col min="1263" max="1263" width="11.85546875" customWidth="1"/>
    <col min="1264" max="1264" width="10.42578125" customWidth="1"/>
    <col min="1266" max="1266" width="12.85546875" customWidth="1"/>
    <col min="1267" max="1267" width="16.140625" customWidth="1"/>
    <col min="1269" max="1269" width="15.140625" bestFit="1" customWidth="1"/>
    <col min="1513" max="1513" width="68.28515625" customWidth="1"/>
    <col min="1514" max="1514" width="17.85546875" bestFit="1" customWidth="1"/>
    <col min="1515" max="1515" width="11.7109375" customWidth="1"/>
    <col min="1516" max="1516" width="10.7109375" customWidth="1"/>
    <col min="1517" max="1517" width="12" customWidth="1"/>
    <col min="1518" max="1518" width="14.85546875" customWidth="1"/>
    <col min="1519" max="1519" width="11.85546875" customWidth="1"/>
    <col min="1520" max="1520" width="10.42578125" customWidth="1"/>
    <col min="1522" max="1522" width="12.85546875" customWidth="1"/>
    <col min="1523" max="1523" width="16.140625" customWidth="1"/>
    <col min="1525" max="1525" width="15.140625" bestFit="1" customWidth="1"/>
    <col min="1769" max="1769" width="68.28515625" customWidth="1"/>
    <col min="1770" max="1770" width="17.85546875" bestFit="1" customWidth="1"/>
    <col min="1771" max="1771" width="11.7109375" customWidth="1"/>
    <col min="1772" max="1772" width="10.7109375" customWidth="1"/>
    <col min="1773" max="1773" width="12" customWidth="1"/>
    <col min="1774" max="1774" width="14.85546875" customWidth="1"/>
    <col min="1775" max="1775" width="11.85546875" customWidth="1"/>
    <col min="1776" max="1776" width="10.42578125" customWidth="1"/>
    <col min="1778" max="1778" width="12.85546875" customWidth="1"/>
    <col min="1779" max="1779" width="16.140625" customWidth="1"/>
    <col min="1781" max="1781" width="15.140625" bestFit="1" customWidth="1"/>
    <col min="2025" max="2025" width="68.28515625" customWidth="1"/>
    <col min="2026" max="2026" width="17.85546875" bestFit="1" customWidth="1"/>
    <col min="2027" max="2027" width="11.7109375" customWidth="1"/>
    <col min="2028" max="2028" width="10.7109375" customWidth="1"/>
    <col min="2029" max="2029" width="12" customWidth="1"/>
    <col min="2030" max="2030" width="14.85546875" customWidth="1"/>
    <col min="2031" max="2031" width="11.85546875" customWidth="1"/>
    <col min="2032" max="2032" width="10.42578125" customWidth="1"/>
    <col min="2034" max="2034" width="12.85546875" customWidth="1"/>
    <col min="2035" max="2035" width="16.140625" customWidth="1"/>
    <col min="2037" max="2037" width="15.140625" bestFit="1" customWidth="1"/>
    <col min="2281" max="2281" width="68.28515625" customWidth="1"/>
    <col min="2282" max="2282" width="17.85546875" bestFit="1" customWidth="1"/>
    <col min="2283" max="2283" width="11.7109375" customWidth="1"/>
    <col min="2284" max="2284" width="10.7109375" customWidth="1"/>
    <col min="2285" max="2285" width="12" customWidth="1"/>
    <col min="2286" max="2286" width="14.85546875" customWidth="1"/>
    <col min="2287" max="2287" width="11.85546875" customWidth="1"/>
    <col min="2288" max="2288" width="10.42578125" customWidth="1"/>
    <col min="2290" max="2290" width="12.85546875" customWidth="1"/>
    <col min="2291" max="2291" width="16.140625" customWidth="1"/>
    <col min="2293" max="2293" width="15.140625" bestFit="1" customWidth="1"/>
    <col min="2537" max="2537" width="68.28515625" customWidth="1"/>
    <col min="2538" max="2538" width="17.85546875" bestFit="1" customWidth="1"/>
    <col min="2539" max="2539" width="11.7109375" customWidth="1"/>
    <col min="2540" max="2540" width="10.7109375" customWidth="1"/>
    <col min="2541" max="2541" width="12" customWidth="1"/>
    <col min="2542" max="2542" width="14.85546875" customWidth="1"/>
    <col min="2543" max="2543" width="11.85546875" customWidth="1"/>
    <col min="2544" max="2544" width="10.42578125" customWidth="1"/>
    <col min="2546" max="2546" width="12.85546875" customWidth="1"/>
    <col min="2547" max="2547" width="16.140625" customWidth="1"/>
    <col min="2549" max="2549" width="15.140625" bestFit="1" customWidth="1"/>
    <col min="2793" max="2793" width="68.28515625" customWidth="1"/>
    <col min="2794" max="2794" width="17.85546875" bestFit="1" customWidth="1"/>
    <col min="2795" max="2795" width="11.7109375" customWidth="1"/>
    <col min="2796" max="2796" width="10.7109375" customWidth="1"/>
    <col min="2797" max="2797" width="12" customWidth="1"/>
    <col min="2798" max="2798" width="14.85546875" customWidth="1"/>
    <col min="2799" max="2799" width="11.85546875" customWidth="1"/>
    <col min="2800" max="2800" width="10.42578125" customWidth="1"/>
    <col min="2802" max="2802" width="12.85546875" customWidth="1"/>
    <col min="2803" max="2803" width="16.140625" customWidth="1"/>
    <col min="2805" max="2805" width="15.140625" bestFit="1" customWidth="1"/>
    <col min="3049" max="3049" width="68.28515625" customWidth="1"/>
    <col min="3050" max="3050" width="17.85546875" bestFit="1" customWidth="1"/>
    <col min="3051" max="3051" width="11.7109375" customWidth="1"/>
    <col min="3052" max="3052" width="10.7109375" customWidth="1"/>
    <col min="3053" max="3053" width="12" customWidth="1"/>
    <col min="3054" max="3054" width="14.85546875" customWidth="1"/>
    <col min="3055" max="3055" width="11.85546875" customWidth="1"/>
    <col min="3056" max="3056" width="10.42578125" customWidth="1"/>
    <col min="3058" max="3058" width="12.85546875" customWidth="1"/>
    <col min="3059" max="3059" width="16.140625" customWidth="1"/>
    <col min="3061" max="3061" width="15.140625" bestFit="1" customWidth="1"/>
    <col min="3305" max="3305" width="68.28515625" customWidth="1"/>
    <col min="3306" max="3306" width="17.85546875" bestFit="1" customWidth="1"/>
    <col min="3307" max="3307" width="11.7109375" customWidth="1"/>
    <col min="3308" max="3308" width="10.7109375" customWidth="1"/>
    <col min="3309" max="3309" width="12" customWidth="1"/>
    <col min="3310" max="3310" width="14.85546875" customWidth="1"/>
    <col min="3311" max="3311" width="11.85546875" customWidth="1"/>
    <col min="3312" max="3312" width="10.42578125" customWidth="1"/>
    <col min="3314" max="3314" width="12.85546875" customWidth="1"/>
    <col min="3315" max="3315" width="16.140625" customWidth="1"/>
    <col min="3317" max="3317" width="15.140625" bestFit="1" customWidth="1"/>
    <col min="3561" max="3561" width="68.28515625" customWidth="1"/>
    <col min="3562" max="3562" width="17.85546875" bestFit="1" customWidth="1"/>
    <col min="3563" max="3563" width="11.7109375" customWidth="1"/>
    <col min="3564" max="3564" width="10.7109375" customWidth="1"/>
    <col min="3565" max="3565" width="12" customWidth="1"/>
    <col min="3566" max="3566" width="14.85546875" customWidth="1"/>
    <col min="3567" max="3567" width="11.85546875" customWidth="1"/>
    <col min="3568" max="3568" width="10.42578125" customWidth="1"/>
    <col min="3570" max="3570" width="12.85546875" customWidth="1"/>
    <col min="3571" max="3571" width="16.140625" customWidth="1"/>
    <col min="3573" max="3573" width="15.140625" bestFit="1" customWidth="1"/>
    <col min="3817" max="3817" width="68.28515625" customWidth="1"/>
    <col min="3818" max="3818" width="17.85546875" bestFit="1" customWidth="1"/>
    <col min="3819" max="3819" width="11.7109375" customWidth="1"/>
    <col min="3820" max="3820" width="10.7109375" customWidth="1"/>
    <col min="3821" max="3821" width="12" customWidth="1"/>
    <col min="3822" max="3822" width="14.85546875" customWidth="1"/>
    <col min="3823" max="3823" width="11.85546875" customWidth="1"/>
    <col min="3824" max="3824" width="10.42578125" customWidth="1"/>
    <col min="3826" max="3826" width="12.85546875" customWidth="1"/>
    <col min="3827" max="3827" width="16.140625" customWidth="1"/>
    <col min="3829" max="3829" width="15.140625" bestFit="1" customWidth="1"/>
    <col min="4073" max="4073" width="68.28515625" customWidth="1"/>
    <col min="4074" max="4074" width="17.85546875" bestFit="1" customWidth="1"/>
    <col min="4075" max="4075" width="11.7109375" customWidth="1"/>
    <col min="4076" max="4076" width="10.7109375" customWidth="1"/>
    <col min="4077" max="4077" width="12" customWidth="1"/>
    <col min="4078" max="4078" width="14.85546875" customWidth="1"/>
    <col min="4079" max="4079" width="11.85546875" customWidth="1"/>
    <col min="4080" max="4080" width="10.42578125" customWidth="1"/>
    <col min="4082" max="4082" width="12.85546875" customWidth="1"/>
    <col min="4083" max="4083" width="16.140625" customWidth="1"/>
    <col min="4085" max="4085" width="15.140625" bestFit="1" customWidth="1"/>
    <col min="4329" max="4329" width="68.28515625" customWidth="1"/>
    <col min="4330" max="4330" width="17.85546875" bestFit="1" customWidth="1"/>
    <col min="4331" max="4331" width="11.7109375" customWidth="1"/>
    <col min="4332" max="4332" width="10.7109375" customWidth="1"/>
    <col min="4333" max="4333" width="12" customWidth="1"/>
    <col min="4334" max="4334" width="14.85546875" customWidth="1"/>
    <col min="4335" max="4335" width="11.85546875" customWidth="1"/>
    <col min="4336" max="4336" width="10.42578125" customWidth="1"/>
    <col min="4338" max="4338" width="12.85546875" customWidth="1"/>
    <col min="4339" max="4339" width="16.140625" customWidth="1"/>
    <col min="4341" max="4341" width="15.140625" bestFit="1" customWidth="1"/>
    <col min="4585" max="4585" width="68.28515625" customWidth="1"/>
    <col min="4586" max="4586" width="17.85546875" bestFit="1" customWidth="1"/>
    <col min="4587" max="4587" width="11.7109375" customWidth="1"/>
    <col min="4588" max="4588" width="10.7109375" customWidth="1"/>
    <col min="4589" max="4589" width="12" customWidth="1"/>
    <col min="4590" max="4590" width="14.85546875" customWidth="1"/>
    <col min="4591" max="4591" width="11.85546875" customWidth="1"/>
    <col min="4592" max="4592" width="10.42578125" customWidth="1"/>
    <col min="4594" max="4594" width="12.85546875" customWidth="1"/>
    <col min="4595" max="4595" width="16.140625" customWidth="1"/>
    <col min="4597" max="4597" width="15.140625" bestFit="1" customWidth="1"/>
    <col min="4841" max="4841" width="68.28515625" customWidth="1"/>
    <col min="4842" max="4842" width="17.85546875" bestFit="1" customWidth="1"/>
    <col min="4843" max="4843" width="11.7109375" customWidth="1"/>
    <col min="4844" max="4844" width="10.7109375" customWidth="1"/>
    <col min="4845" max="4845" width="12" customWidth="1"/>
    <col min="4846" max="4846" width="14.85546875" customWidth="1"/>
    <col min="4847" max="4847" width="11.85546875" customWidth="1"/>
    <col min="4848" max="4848" width="10.42578125" customWidth="1"/>
    <col min="4850" max="4850" width="12.85546875" customWidth="1"/>
    <col min="4851" max="4851" width="16.140625" customWidth="1"/>
    <col min="4853" max="4853" width="15.140625" bestFit="1" customWidth="1"/>
    <col min="5097" max="5097" width="68.28515625" customWidth="1"/>
    <col min="5098" max="5098" width="17.85546875" bestFit="1" customWidth="1"/>
    <col min="5099" max="5099" width="11.7109375" customWidth="1"/>
    <col min="5100" max="5100" width="10.7109375" customWidth="1"/>
    <col min="5101" max="5101" width="12" customWidth="1"/>
    <col min="5102" max="5102" width="14.85546875" customWidth="1"/>
    <col min="5103" max="5103" width="11.85546875" customWidth="1"/>
    <col min="5104" max="5104" width="10.42578125" customWidth="1"/>
    <col min="5106" max="5106" width="12.85546875" customWidth="1"/>
    <col min="5107" max="5107" width="16.140625" customWidth="1"/>
    <col min="5109" max="5109" width="15.140625" bestFit="1" customWidth="1"/>
    <col min="5353" max="5353" width="68.28515625" customWidth="1"/>
    <col min="5354" max="5354" width="17.85546875" bestFit="1" customWidth="1"/>
    <col min="5355" max="5355" width="11.7109375" customWidth="1"/>
    <col min="5356" max="5356" width="10.7109375" customWidth="1"/>
    <col min="5357" max="5357" width="12" customWidth="1"/>
    <col min="5358" max="5358" width="14.85546875" customWidth="1"/>
    <col min="5359" max="5359" width="11.85546875" customWidth="1"/>
    <col min="5360" max="5360" width="10.42578125" customWidth="1"/>
    <col min="5362" max="5362" width="12.85546875" customWidth="1"/>
    <col min="5363" max="5363" width="16.140625" customWidth="1"/>
    <col min="5365" max="5365" width="15.140625" bestFit="1" customWidth="1"/>
    <col min="5609" max="5609" width="68.28515625" customWidth="1"/>
    <col min="5610" max="5610" width="17.85546875" bestFit="1" customWidth="1"/>
    <col min="5611" max="5611" width="11.7109375" customWidth="1"/>
    <col min="5612" max="5612" width="10.7109375" customWidth="1"/>
    <col min="5613" max="5613" width="12" customWidth="1"/>
    <col min="5614" max="5614" width="14.85546875" customWidth="1"/>
    <col min="5615" max="5615" width="11.85546875" customWidth="1"/>
    <col min="5616" max="5616" width="10.42578125" customWidth="1"/>
    <col min="5618" max="5618" width="12.85546875" customWidth="1"/>
    <col min="5619" max="5619" width="16.140625" customWidth="1"/>
    <col min="5621" max="5621" width="15.140625" bestFit="1" customWidth="1"/>
    <col min="5865" max="5865" width="68.28515625" customWidth="1"/>
    <col min="5866" max="5866" width="17.85546875" bestFit="1" customWidth="1"/>
    <col min="5867" max="5867" width="11.7109375" customWidth="1"/>
    <col min="5868" max="5868" width="10.7109375" customWidth="1"/>
    <col min="5869" max="5869" width="12" customWidth="1"/>
    <col min="5870" max="5870" width="14.85546875" customWidth="1"/>
    <col min="5871" max="5871" width="11.85546875" customWidth="1"/>
    <col min="5872" max="5872" width="10.42578125" customWidth="1"/>
    <col min="5874" max="5874" width="12.85546875" customWidth="1"/>
    <col min="5875" max="5875" width="16.140625" customWidth="1"/>
    <col min="5877" max="5877" width="15.140625" bestFit="1" customWidth="1"/>
    <col min="6121" max="6121" width="68.28515625" customWidth="1"/>
    <col min="6122" max="6122" width="17.85546875" bestFit="1" customWidth="1"/>
    <col min="6123" max="6123" width="11.7109375" customWidth="1"/>
    <col min="6124" max="6124" width="10.7109375" customWidth="1"/>
    <col min="6125" max="6125" width="12" customWidth="1"/>
    <col min="6126" max="6126" width="14.85546875" customWidth="1"/>
    <col min="6127" max="6127" width="11.85546875" customWidth="1"/>
    <col min="6128" max="6128" width="10.42578125" customWidth="1"/>
    <col min="6130" max="6130" width="12.85546875" customWidth="1"/>
    <col min="6131" max="6131" width="16.140625" customWidth="1"/>
    <col min="6133" max="6133" width="15.140625" bestFit="1" customWidth="1"/>
    <col min="6377" max="6377" width="68.28515625" customWidth="1"/>
    <col min="6378" max="6378" width="17.85546875" bestFit="1" customWidth="1"/>
    <col min="6379" max="6379" width="11.7109375" customWidth="1"/>
    <col min="6380" max="6380" width="10.7109375" customWidth="1"/>
    <col min="6381" max="6381" width="12" customWidth="1"/>
    <col min="6382" max="6382" width="14.85546875" customWidth="1"/>
    <col min="6383" max="6383" width="11.85546875" customWidth="1"/>
    <col min="6384" max="6384" width="10.42578125" customWidth="1"/>
    <col min="6386" max="6386" width="12.85546875" customWidth="1"/>
    <col min="6387" max="6387" width="16.140625" customWidth="1"/>
    <col min="6389" max="6389" width="15.140625" bestFit="1" customWidth="1"/>
    <col min="6633" max="6633" width="68.28515625" customWidth="1"/>
    <col min="6634" max="6634" width="17.85546875" bestFit="1" customWidth="1"/>
    <col min="6635" max="6635" width="11.7109375" customWidth="1"/>
    <col min="6636" max="6636" width="10.7109375" customWidth="1"/>
    <col min="6637" max="6637" width="12" customWidth="1"/>
    <col min="6638" max="6638" width="14.85546875" customWidth="1"/>
    <col min="6639" max="6639" width="11.85546875" customWidth="1"/>
    <col min="6640" max="6640" width="10.42578125" customWidth="1"/>
    <col min="6642" max="6642" width="12.85546875" customWidth="1"/>
    <col min="6643" max="6643" width="16.140625" customWidth="1"/>
    <col min="6645" max="6645" width="15.140625" bestFit="1" customWidth="1"/>
    <col min="6889" max="6889" width="68.28515625" customWidth="1"/>
    <col min="6890" max="6890" width="17.85546875" bestFit="1" customWidth="1"/>
    <col min="6891" max="6891" width="11.7109375" customWidth="1"/>
    <col min="6892" max="6892" width="10.7109375" customWidth="1"/>
    <col min="6893" max="6893" width="12" customWidth="1"/>
    <col min="6894" max="6894" width="14.85546875" customWidth="1"/>
    <col min="6895" max="6895" width="11.85546875" customWidth="1"/>
    <col min="6896" max="6896" width="10.42578125" customWidth="1"/>
    <col min="6898" max="6898" width="12.85546875" customWidth="1"/>
    <col min="6899" max="6899" width="16.140625" customWidth="1"/>
    <col min="6901" max="6901" width="15.140625" bestFit="1" customWidth="1"/>
    <col min="7145" max="7145" width="68.28515625" customWidth="1"/>
    <col min="7146" max="7146" width="17.85546875" bestFit="1" customWidth="1"/>
    <col min="7147" max="7147" width="11.7109375" customWidth="1"/>
    <col min="7148" max="7148" width="10.7109375" customWidth="1"/>
    <col min="7149" max="7149" width="12" customWidth="1"/>
    <col min="7150" max="7150" width="14.85546875" customWidth="1"/>
    <col min="7151" max="7151" width="11.85546875" customWidth="1"/>
    <col min="7152" max="7152" width="10.42578125" customWidth="1"/>
    <col min="7154" max="7154" width="12.85546875" customWidth="1"/>
    <col min="7155" max="7155" width="16.140625" customWidth="1"/>
    <col min="7157" max="7157" width="15.140625" bestFit="1" customWidth="1"/>
    <col min="7401" max="7401" width="68.28515625" customWidth="1"/>
    <col min="7402" max="7402" width="17.85546875" bestFit="1" customWidth="1"/>
    <col min="7403" max="7403" width="11.7109375" customWidth="1"/>
    <col min="7404" max="7404" width="10.7109375" customWidth="1"/>
    <col min="7405" max="7405" width="12" customWidth="1"/>
    <col min="7406" max="7406" width="14.85546875" customWidth="1"/>
    <col min="7407" max="7407" width="11.85546875" customWidth="1"/>
    <col min="7408" max="7408" width="10.42578125" customWidth="1"/>
    <col min="7410" max="7410" width="12.85546875" customWidth="1"/>
    <col min="7411" max="7411" width="16.140625" customWidth="1"/>
    <col min="7413" max="7413" width="15.140625" bestFit="1" customWidth="1"/>
    <col min="7657" max="7657" width="68.28515625" customWidth="1"/>
    <col min="7658" max="7658" width="17.85546875" bestFit="1" customWidth="1"/>
    <col min="7659" max="7659" width="11.7109375" customWidth="1"/>
    <col min="7660" max="7660" width="10.7109375" customWidth="1"/>
    <col min="7661" max="7661" width="12" customWidth="1"/>
    <col min="7662" max="7662" width="14.85546875" customWidth="1"/>
    <col min="7663" max="7663" width="11.85546875" customWidth="1"/>
    <col min="7664" max="7664" width="10.42578125" customWidth="1"/>
    <col min="7666" max="7666" width="12.85546875" customWidth="1"/>
    <col min="7667" max="7667" width="16.140625" customWidth="1"/>
    <col min="7669" max="7669" width="15.140625" bestFit="1" customWidth="1"/>
    <col min="7913" max="7913" width="68.28515625" customWidth="1"/>
    <col min="7914" max="7914" width="17.85546875" bestFit="1" customWidth="1"/>
    <col min="7915" max="7915" width="11.7109375" customWidth="1"/>
    <col min="7916" max="7916" width="10.7109375" customWidth="1"/>
    <col min="7917" max="7917" width="12" customWidth="1"/>
    <col min="7918" max="7918" width="14.85546875" customWidth="1"/>
    <col min="7919" max="7919" width="11.85546875" customWidth="1"/>
    <col min="7920" max="7920" width="10.42578125" customWidth="1"/>
    <col min="7922" max="7922" width="12.85546875" customWidth="1"/>
    <col min="7923" max="7923" width="16.140625" customWidth="1"/>
    <col min="7925" max="7925" width="15.140625" bestFit="1" customWidth="1"/>
    <col min="8169" max="8169" width="68.28515625" customWidth="1"/>
    <col min="8170" max="8170" width="17.85546875" bestFit="1" customWidth="1"/>
    <col min="8171" max="8171" width="11.7109375" customWidth="1"/>
    <col min="8172" max="8172" width="10.7109375" customWidth="1"/>
    <col min="8173" max="8173" width="12" customWidth="1"/>
    <col min="8174" max="8174" width="14.85546875" customWidth="1"/>
    <col min="8175" max="8175" width="11.85546875" customWidth="1"/>
    <col min="8176" max="8176" width="10.42578125" customWidth="1"/>
    <col min="8178" max="8178" width="12.85546875" customWidth="1"/>
    <col min="8179" max="8179" width="16.140625" customWidth="1"/>
    <col min="8181" max="8181" width="15.140625" bestFit="1" customWidth="1"/>
    <col min="8425" max="8425" width="68.28515625" customWidth="1"/>
    <col min="8426" max="8426" width="17.85546875" bestFit="1" customWidth="1"/>
    <col min="8427" max="8427" width="11.7109375" customWidth="1"/>
    <col min="8428" max="8428" width="10.7109375" customWidth="1"/>
    <col min="8429" max="8429" width="12" customWidth="1"/>
    <col min="8430" max="8430" width="14.85546875" customWidth="1"/>
    <col min="8431" max="8431" width="11.85546875" customWidth="1"/>
    <col min="8432" max="8432" width="10.42578125" customWidth="1"/>
    <col min="8434" max="8434" width="12.85546875" customWidth="1"/>
    <col min="8435" max="8435" width="16.140625" customWidth="1"/>
    <col min="8437" max="8437" width="15.140625" bestFit="1" customWidth="1"/>
    <col min="8681" max="8681" width="68.28515625" customWidth="1"/>
    <col min="8682" max="8682" width="17.85546875" bestFit="1" customWidth="1"/>
    <col min="8683" max="8683" width="11.7109375" customWidth="1"/>
    <col min="8684" max="8684" width="10.7109375" customWidth="1"/>
    <col min="8685" max="8685" width="12" customWidth="1"/>
    <col min="8686" max="8686" width="14.85546875" customWidth="1"/>
    <col min="8687" max="8687" width="11.85546875" customWidth="1"/>
    <col min="8688" max="8688" width="10.42578125" customWidth="1"/>
    <col min="8690" max="8690" width="12.85546875" customWidth="1"/>
    <col min="8691" max="8691" width="16.140625" customWidth="1"/>
    <col min="8693" max="8693" width="15.140625" bestFit="1" customWidth="1"/>
    <col min="8937" max="8937" width="68.28515625" customWidth="1"/>
    <col min="8938" max="8938" width="17.85546875" bestFit="1" customWidth="1"/>
    <col min="8939" max="8939" width="11.7109375" customWidth="1"/>
    <col min="8940" max="8940" width="10.7109375" customWidth="1"/>
    <col min="8941" max="8941" width="12" customWidth="1"/>
    <col min="8942" max="8942" width="14.85546875" customWidth="1"/>
    <col min="8943" max="8943" width="11.85546875" customWidth="1"/>
    <col min="8944" max="8944" width="10.42578125" customWidth="1"/>
    <col min="8946" max="8946" width="12.85546875" customWidth="1"/>
    <col min="8947" max="8947" width="16.140625" customWidth="1"/>
    <col min="8949" max="8949" width="15.140625" bestFit="1" customWidth="1"/>
    <col min="9193" max="9193" width="68.28515625" customWidth="1"/>
    <col min="9194" max="9194" width="17.85546875" bestFit="1" customWidth="1"/>
    <col min="9195" max="9195" width="11.7109375" customWidth="1"/>
    <col min="9196" max="9196" width="10.7109375" customWidth="1"/>
    <col min="9197" max="9197" width="12" customWidth="1"/>
    <col min="9198" max="9198" width="14.85546875" customWidth="1"/>
    <col min="9199" max="9199" width="11.85546875" customWidth="1"/>
    <col min="9200" max="9200" width="10.42578125" customWidth="1"/>
    <col min="9202" max="9202" width="12.85546875" customWidth="1"/>
    <col min="9203" max="9203" width="16.140625" customWidth="1"/>
    <col min="9205" max="9205" width="15.140625" bestFit="1" customWidth="1"/>
    <col min="9449" max="9449" width="68.28515625" customWidth="1"/>
    <col min="9450" max="9450" width="17.85546875" bestFit="1" customWidth="1"/>
    <col min="9451" max="9451" width="11.7109375" customWidth="1"/>
    <col min="9452" max="9452" width="10.7109375" customWidth="1"/>
    <col min="9453" max="9453" width="12" customWidth="1"/>
    <col min="9454" max="9454" width="14.85546875" customWidth="1"/>
    <col min="9455" max="9455" width="11.85546875" customWidth="1"/>
    <col min="9456" max="9456" width="10.42578125" customWidth="1"/>
    <col min="9458" max="9458" width="12.85546875" customWidth="1"/>
    <col min="9459" max="9459" width="16.140625" customWidth="1"/>
    <col min="9461" max="9461" width="15.140625" bestFit="1" customWidth="1"/>
    <col min="9705" max="9705" width="68.28515625" customWidth="1"/>
    <col min="9706" max="9706" width="17.85546875" bestFit="1" customWidth="1"/>
    <col min="9707" max="9707" width="11.7109375" customWidth="1"/>
    <col min="9708" max="9708" width="10.7109375" customWidth="1"/>
    <col min="9709" max="9709" width="12" customWidth="1"/>
    <col min="9710" max="9710" width="14.85546875" customWidth="1"/>
    <col min="9711" max="9711" width="11.85546875" customWidth="1"/>
    <col min="9712" max="9712" width="10.42578125" customWidth="1"/>
    <col min="9714" max="9714" width="12.85546875" customWidth="1"/>
    <col min="9715" max="9715" width="16.140625" customWidth="1"/>
    <col min="9717" max="9717" width="15.140625" bestFit="1" customWidth="1"/>
    <col min="9961" max="9961" width="68.28515625" customWidth="1"/>
    <col min="9962" max="9962" width="17.85546875" bestFit="1" customWidth="1"/>
    <col min="9963" max="9963" width="11.7109375" customWidth="1"/>
    <col min="9964" max="9964" width="10.7109375" customWidth="1"/>
    <col min="9965" max="9965" width="12" customWidth="1"/>
    <col min="9966" max="9966" width="14.85546875" customWidth="1"/>
    <col min="9967" max="9967" width="11.85546875" customWidth="1"/>
    <col min="9968" max="9968" width="10.42578125" customWidth="1"/>
    <col min="9970" max="9970" width="12.85546875" customWidth="1"/>
    <col min="9971" max="9971" width="16.140625" customWidth="1"/>
    <col min="9973" max="9973" width="15.140625" bestFit="1" customWidth="1"/>
    <col min="10217" max="10217" width="68.28515625" customWidth="1"/>
    <col min="10218" max="10218" width="17.85546875" bestFit="1" customWidth="1"/>
    <col min="10219" max="10219" width="11.7109375" customWidth="1"/>
    <col min="10220" max="10220" width="10.7109375" customWidth="1"/>
    <col min="10221" max="10221" width="12" customWidth="1"/>
    <col min="10222" max="10222" width="14.85546875" customWidth="1"/>
    <col min="10223" max="10223" width="11.85546875" customWidth="1"/>
    <col min="10224" max="10224" width="10.42578125" customWidth="1"/>
    <col min="10226" max="10226" width="12.85546875" customWidth="1"/>
    <col min="10227" max="10227" width="16.140625" customWidth="1"/>
    <col min="10229" max="10229" width="15.140625" bestFit="1" customWidth="1"/>
    <col min="10473" max="10473" width="68.28515625" customWidth="1"/>
    <col min="10474" max="10474" width="17.85546875" bestFit="1" customWidth="1"/>
    <col min="10475" max="10475" width="11.7109375" customWidth="1"/>
    <col min="10476" max="10476" width="10.7109375" customWidth="1"/>
    <col min="10477" max="10477" width="12" customWidth="1"/>
    <col min="10478" max="10478" width="14.85546875" customWidth="1"/>
    <col min="10479" max="10479" width="11.85546875" customWidth="1"/>
    <col min="10480" max="10480" width="10.42578125" customWidth="1"/>
    <col min="10482" max="10482" width="12.85546875" customWidth="1"/>
    <col min="10483" max="10483" width="16.140625" customWidth="1"/>
    <col min="10485" max="10485" width="15.140625" bestFit="1" customWidth="1"/>
    <col min="10729" max="10729" width="68.28515625" customWidth="1"/>
    <col min="10730" max="10730" width="17.85546875" bestFit="1" customWidth="1"/>
    <col min="10731" max="10731" width="11.7109375" customWidth="1"/>
    <col min="10732" max="10732" width="10.7109375" customWidth="1"/>
    <col min="10733" max="10733" width="12" customWidth="1"/>
    <col min="10734" max="10734" width="14.85546875" customWidth="1"/>
    <col min="10735" max="10735" width="11.85546875" customWidth="1"/>
    <col min="10736" max="10736" width="10.42578125" customWidth="1"/>
    <col min="10738" max="10738" width="12.85546875" customWidth="1"/>
    <col min="10739" max="10739" width="16.140625" customWidth="1"/>
    <col min="10741" max="10741" width="15.140625" bestFit="1" customWidth="1"/>
    <col min="10985" max="10985" width="68.28515625" customWidth="1"/>
    <col min="10986" max="10986" width="17.85546875" bestFit="1" customWidth="1"/>
    <col min="10987" max="10987" width="11.7109375" customWidth="1"/>
    <col min="10988" max="10988" width="10.7109375" customWidth="1"/>
    <col min="10989" max="10989" width="12" customWidth="1"/>
    <col min="10990" max="10990" width="14.85546875" customWidth="1"/>
    <col min="10991" max="10991" width="11.85546875" customWidth="1"/>
    <col min="10992" max="10992" width="10.42578125" customWidth="1"/>
    <col min="10994" max="10994" width="12.85546875" customWidth="1"/>
    <col min="10995" max="10995" width="16.140625" customWidth="1"/>
    <col min="10997" max="10997" width="15.140625" bestFit="1" customWidth="1"/>
    <col min="11241" max="11241" width="68.28515625" customWidth="1"/>
    <col min="11242" max="11242" width="17.85546875" bestFit="1" customWidth="1"/>
    <col min="11243" max="11243" width="11.7109375" customWidth="1"/>
    <col min="11244" max="11244" width="10.7109375" customWidth="1"/>
    <col min="11245" max="11245" width="12" customWidth="1"/>
    <col min="11246" max="11246" width="14.85546875" customWidth="1"/>
    <col min="11247" max="11247" width="11.85546875" customWidth="1"/>
    <col min="11248" max="11248" width="10.42578125" customWidth="1"/>
    <col min="11250" max="11250" width="12.85546875" customWidth="1"/>
    <col min="11251" max="11251" width="16.140625" customWidth="1"/>
    <col min="11253" max="11253" width="15.140625" bestFit="1" customWidth="1"/>
    <col min="11497" max="11497" width="68.28515625" customWidth="1"/>
    <col min="11498" max="11498" width="17.85546875" bestFit="1" customWidth="1"/>
    <col min="11499" max="11499" width="11.7109375" customWidth="1"/>
    <col min="11500" max="11500" width="10.7109375" customWidth="1"/>
    <col min="11501" max="11501" width="12" customWidth="1"/>
    <col min="11502" max="11502" width="14.85546875" customWidth="1"/>
    <col min="11503" max="11503" width="11.85546875" customWidth="1"/>
    <col min="11504" max="11504" width="10.42578125" customWidth="1"/>
    <col min="11506" max="11506" width="12.85546875" customWidth="1"/>
    <col min="11507" max="11507" width="16.140625" customWidth="1"/>
    <col min="11509" max="11509" width="15.140625" bestFit="1" customWidth="1"/>
    <col min="11753" max="11753" width="68.28515625" customWidth="1"/>
    <col min="11754" max="11754" width="17.85546875" bestFit="1" customWidth="1"/>
    <col min="11755" max="11755" width="11.7109375" customWidth="1"/>
    <col min="11756" max="11756" width="10.7109375" customWidth="1"/>
    <col min="11757" max="11757" width="12" customWidth="1"/>
    <col min="11758" max="11758" width="14.85546875" customWidth="1"/>
    <col min="11759" max="11759" width="11.85546875" customWidth="1"/>
    <col min="11760" max="11760" width="10.42578125" customWidth="1"/>
    <col min="11762" max="11762" width="12.85546875" customWidth="1"/>
    <col min="11763" max="11763" width="16.140625" customWidth="1"/>
    <col min="11765" max="11765" width="15.140625" bestFit="1" customWidth="1"/>
    <col min="12009" max="12009" width="68.28515625" customWidth="1"/>
    <col min="12010" max="12010" width="17.85546875" bestFit="1" customWidth="1"/>
    <col min="12011" max="12011" width="11.7109375" customWidth="1"/>
    <col min="12012" max="12012" width="10.7109375" customWidth="1"/>
    <col min="12013" max="12013" width="12" customWidth="1"/>
    <col min="12014" max="12014" width="14.85546875" customWidth="1"/>
    <col min="12015" max="12015" width="11.85546875" customWidth="1"/>
    <col min="12016" max="12016" width="10.42578125" customWidth="1"/>
    <col min="12018" max="12018" width="12.85546875" customWidth="1"/>
    <col min="12019" max="12019" width="16.140625" customWidth="1"/>
    <col min="12021" max="12021" width="15.140625" bestFit="1" customWidth="1"/>
    <col min="12265" max="12265" width="68.28515625" customWidth="1"/>
    <col min="12266" max="12266" width="17.85546875" bestFit="1" customWidth="1"/>
    <col min="12267" max="12267" width="11.7109375" customWidth="1"/>
    <col min="12268" max="12268" width="10.7109375" customWidth="1"/>
    <col min="12269" max="12269" width="12" customWidth="1"/>
    <col min="12270" max="12270" width="14.85546875" customWidth="1"/>
    <col min="12271" max="12271" width="11.85546875" customWidth="1"/>
    <col min="12272" max="12272" width="10.42578125" customWidth="1"/>
    <col min="12274" max="12274" width="12.85546875" customWidth="1"/>
    <col min="12275" max="12275" width="16.140625" customWidth="1"/>
    <col min="12277" max="12277" width="15.140625" bestFit="1" customWidth="1"/>
    <col min="12521" max="12521" width="68.28515625" customWidth="1"/>
    <col min="12522" max="12522" width="17.85546875" bestFit="1" customWidth="1"/>
    <col min="12523" max="12523" width="11.7109375" customWidth="1"/>
    <col min="12524" max="12524" width="10.7109375" customWidth="1"/>
    <col min="12525" max="12525" width="12" customWidth="1"/>
    <col min="12526" max="12526" width="14.85546875" customWidth="1"/>
    <col min="12527" max="12527" width="11.85546875" customWidth="1"/>
    <col min="12528" max="12528" width="10.42578125" customWidth="1"/>
    <col min="12530" max="12530" width="12.85546875" customWidth="1"/>
    <col min="12531" max="12531" width="16.140625" customWidth="1"/>
    <col min="12533" max="12533" width="15.140625" bestFit="1" customWidth="1"/>
    <col min="12777" max="12777" width="68.28515625" customWidth="1"/>
    <col min="12778" max="12778" width="17.85546875" bestFit="1" customWidth="1"/>
    <col min="12779" max="12779" width="11.7109375" customWidth="1"/>
    <col min="12780" max="12780" width="10.7109375" customWidth="1"/>
    <col min="12781" max="12781" width="12" customWidth="1"/>
    <col min="12782" max="12782" width="14.85546875" customWidth="1"/>
    <col min="12783" max="12783" width="11.85546875" customWidth="1"/>
    <col min="12784" max="12784" width="10.42578125" customWidth="1"/>
    <col min="12786" max="12786" width="12.85546875" customWidth="1"/>
    <col min="12787" max="12787" width="16.140625" customWidth="1"/>
    <col min="12789" max="12789" width="15.140625" bestFit="1" customWidth="1"/>
    <col min="13033" max="13033" width="68.28515625" customWidth="1"/>
    <col min="13034" max="13034" width="17.85546875" bestFit="1" customWidth="1"/>
    <col min="13035" max="13035" width="11.7109375" customWidth="1"/>
    <col min="13036" max="13036" width="10.7109375" customWidth="1"/>
    <col min="13037" max="13037" width="12" customWidth="1"/>
    <col min="13038" max="13038" width="14.85546875" customWidth="1"/>
    <col min="13039" max="13039" width="11.85546875" customWidth="1"/>
    <col min="13040" max="13040" width="10.42578125" customWidth="1"/>
    <col min="13042" max="13042" width="12.85546875" customWidth="1"/>
    <col min="13043" max="13043" width="16.140625" customWidth="1"/>
    <col min="13045" max="13045" width="15.140625" bestFit="1" customWidth="1"/>
    <col min="13289" max="13289" width="68.28515625" customWidth="1"/>
    <col min="13290" max="13290" width="17.85546875" bestFit="1" customWidth="1"/>
    <col min="13291" max="13291" width="11.7109375" customWidth="1"/>
    <col min="13292" max="13292" width="10.7109375" customWidth="1"/>
    <col min="13293" max="13293" width="12" customWidth="1"/>
    <col min="13294" max="13294" width="14.85546875" customWidth="1"/>
    <col min="13295" max="13295" width="11.85546875" customWidth="1"/>
    <col min="13296" max="13296" width="10.42578125" customWidth="1"/>
    <col min="13298" max="13298" width="12.85546875" customWidth="1"/>
    <col min="13299" max="13299" width="16.140625" customWidth="1"/>
    <col min="13301" max="13301" width="15.140625" bestFit="1" customWidth="1"/>
    <col min="13545" max="13545" width="68.28515625" customWidth="1"/>
    <col min="13546" max="13546" width="17.85546875" bestFit="1" customWidth="1"/>
    <col min="13547" max="13547" width="11.7109375" customWidth="1"/>
    <col min="13548" max="13548" width="10.7109375" customWidth="1"/>
    <col min="13549" max="13549" width="12" customWidth="1"/>
    <col min="13550" max="13550" width="14.85546875" customWidth="1"/>
    <col min="13551" max="13551" width="11.85546875" customWidth="1"/>
    <col min="13552" max="13552" width="10.42578125" customWidth="1"/>
    <col min="13554" max="13554" width="12.85546875" customWidth="1"/>
    <col min="13555" max="13555" width="16.140625" customWidth="1"/>
    <col min="13557" max="13557" width="15.140625" bestFit="1" customWidth="1"/>
    <col min="13801" max="13801" width="68.28515625" customWidth="1"/>
    <col min="13802" max="13802" width="17.85546875" bestFit="1" customWidth="1"/>
    <col min="13803" max="13803" width="11.7109375" customWidth="1"/>
    <col min="13804" max="13804" width="10.7109375" customWidth="1"/>
    <col min="13805" max="13805" width="12" customWidth="1"/>
    <col min="13806" max="13806" width="14.85546875" customWidth="1"/>
    <col min="13807" max="13807" width="11.85546875" customWidth="1"/>
    <col min="13808" max="13808" width="10.42578125" customWidth="1"/>
    <col min="13810" max="13810" width="12.85546875" customWidth="1"/>
    <col min="13811" max="13811" width="16.140625" customWidth="1"/>
    <col min="13813" max="13813" width="15.140625" bestFit="1" customWidth="1"/>
    <col min="14057" max="14057" width="68.28515625" customWidth="1"/>
    <col min="14058" max="14058" width="17.85546875" bestFit="1" customWidth="1"/>
    <col min="14059" max="14059" width="11.7109375" customWidth="1"/>
    <col min="14060" max="14060" width="10.7109375" customWidth="1"/>
    <col min="14061" max="14061" width="12" customWidth="1"/>
    <col min="14062" max="14062" width="14.85546875" customWidth="1"/>
    <col min="14063" max="14063" width="11.85546875" customWidth="1"/>
    <col min="14064" max="14064" width="10.42578125" customWidth="1"/>
    <col min="14066" max="14066" width="12.85546875" customWidth="1"/>
    <col min="14067" max="14067" width="16.140625" customWidth="1"/>
    <col min="14069" max="14069" width="15.140625" bestFit="1" customWidth="1"/>
    <col min="14313" max="14313" width="68.28515625" customWidth="1"/>
    <col min="14314" max="14314" width="17.85546875" bestFit="1" customWidth="1"/>
    <col min="14315" max="14315" width="11.7109375" customWidth="1"/>
    <col min="14316" max="14316" width="10.7109375" customWidth="1"/>
    <col min="14317" max="14317" width="12" customWidth="1"/>
    <col min="14318" max="14318" width="14.85546875" customWidth="1"/>
    <col min="14319" max="14319" width="11.85546875" customWidth="1"/>
    <col min="14320" max="14320" width="10.42578125" customWidth="1"/>
    <col min="14322" max="14322" width="12.85546875" customWidth="1"/>
    <col min="14323" max="14323" width="16.140625" customWidth="1"/>
    <col min="14325" max="14325" width="15.140625" bestFit="1" customWidth="1"/>
    <col min="14569" max="14569" width="68.28515625" customWidth="1"/>
    <col min="14570" max="14570" width="17.85546875" bestFit="1" customWidth="1"/>
    <col min="14571" max="14571" width="11.7109375" customWidth="1"/>
    <col min="14572" max="14572" width="10.7109375" customWidth="1"/>
    <col min="14573" max="14573" width="12" customWidth="1"/>
    <col min="14574" max="14574" width="14.85546875" customWidth="1"/>
    <col min="14575" max="14575" width="11.85546875" customWidth="1"/>
    <col min="14576" max="14576" width="10.42578125" customWidth="1"/>
    <col min="14578" max="14578" width="12.85546875" customWidth="1"/>
    <col min="14579" max="14579" width="16.140625" customWidth="1"/>
    <col min="14581" max="14581" width="15.140625" bestFit="1" customWidth="1"/>
    <col min="14825" max="14825" width="68.28515625" customWidth="1"/>
    <col min="14826" max="14826" width="17.85546875" bestFit="1" customWidth="1"/>
    <col min="14827" max="14827" width="11.7109375" customWidth="1"/>
    <col min="14828" max="14828" width="10.7109375" customWidth="1"/>
    <col min="14829" max="14829" width="12" customWidth="1"/>
    <col min="14830" max="14830" width="14.85546875" customWidth="1"/>
    <col min="14831" max="14831" width="11.85546875" customWidth="1"/>
    <col min="14832" max="14832" width="10.42578125" customWidth="1"/>
    <col min="14834" max="14834" width="12.85546875" customWidth="1"/>
    <col min="14835" max="14835" width="16.140625" customWidth="1"/>
    <col min="14837" max="14837" width="15.140625" bestFit="1" customWidth="1"/>
    <col min="15081" max="15081" width="68.28515625" customWidth="1"/>
    <col min="15082" max="15082" width="17.85546875" bestFit="1" customWidth="1"/>
    <col min="15083" max="15083" width="11.7109375" customWidth="1"/>
    <col min="15084" max="15084" width="10.7109375" customWidth="1"/>
    <col min="15085" max="15085" width="12" customWidth="1"/>
    <col min="15086" max="15086" width="14.85546875" customWidth="1"/>
    <col min="15087" max="15087" width="11.85546875" customWidth="1"/>
    <col min="15088" max="15088" width="10.42578125" customWidth="1"/>
    <col min="15090" max="15090" width="12.85546875" customWidth="1"/>
    <col min="15091" max="15091" width="16.140625" customWidth="1"/>
    <col min="15093" max="15093" width="15.140625" bestFit="1" customWidth="1"/>
    <col min="15337" max="15337" width="68.28515625" customWidth="1"/>
    <col min="15338" max="15338" width="17.85546875" bestFit="1" customWidth="1"/>
    <col min="15339" max="15339" width="11.7109375" customWidth="1"/>
    <col min="15340" max="15340" width="10.7109375" customWidth="1"/>
    <col min="15341" max="15341" width="12" customWidth="1"/>
    <col min="15342" max="15342" width="14.85546875" customWidth="1"/>
    <col min="15343" max="15343" width="11.85546875" customWidth="1"/>
    <col min="15344" max="15344" width="10.42578125" customWidth="1"/>
    <col min="15346" max="15346" width="12.85546875" customWidth="1"/>
    <col min="15347" max="15347" width="16.140625" customWidth="1"/>
    <col min="15349" max="15349" width="15.140625" bestFit="1" customWidth="1"/>
    <col min="15593" max="15593" width="68.28515625" customWidth="1"/>
    <col min="15594" max="15594" width="17.85546875" bestFit="1" customWidth="1"/>
    <col min="15595" max="15595" width="11.7109375" customWidth="1"/>
    <col min="15596" max="15596" width="10.7109375" customWidth="1"/>
    <col min="15597" max="15597" width="12" customWidth="1"/>
    <col min="15598" max="15598" width="14.85546875" customWidth="1"/>
    <col min="15599" max="15599" width="11.85546875" customWidth="1"/>
    <col min="15600" max="15600" width="10.42578125" customWidth="1"/>
    <col min="15602" max="15602" width="12.85546875" customWidth="1"/>
    <col min="15603" max="15603" width="16.140625" customWidth="1"/>
    <col min="15605" max="15605" width="15.140625" bestFit="1" customWidth="1"/>
    <col min="15849" max="15849" width="68.28515625" customWidth="1"/>
    <col min="15850" max="15850" width="17.85546875" bestFit="1" customWidth="1"/>
    <col min="15851" max="15851" width="11.7109375" customWidth="1"/>
    <col min="15852" max="15852" width="10.7109375" customWidth="1"/>
    <col min="15853" max="15853" width="12" customWidth="1"/>
    <col min="15854" max="15854" width="14.85546875" customWidth="1"/>
    <col min="15855" max="15855" width="11.85546875" customWidth="1"/>
    <col min="15856" max="15856" width="10.42578125" customWidth="1"/>
    <col min="15858" max="15858" width="12.85546875" customWidth="1"/>
    <col min="15859" max="15859" width="16.140625" customWidth="1"/>
    <col min="15861" max="15861" width="15.140625" bestFit="1" customWidth="1"/>
    <col min="16105" max="16105" width="68.28515625" customWidth="1"/>
    <col min="16106" max="16106" width="17.85546875" bestFit="1" customWidth="1"/>
    <col min="16107" max="16107" width="11.7109375" customWidth="1"/>
    <col min="16108" max="16108" width="10.7109375" customWidth="1"/>
    <col min="16109" max="16109" width="12" customWidth="1"/>
    <col min="16110" max="16110" width="14.85546875" customWidth="1"/>
    <col min="16111" max="16111" width="11.85546875" customWidth="1"/>
    <col min="16112" max="16112" width="10.42578125" customWidth="1"/>
    <col min="16114" max="16114" width="12.85546875" customWidth="1"/>
    <col min="16115" max="16115" width="16.140625" customWidth="1"/>
    <col min="16117" max="16117" width="15.140625" bestFit="1" customWidth="1"/>
  </cols>
  <sheetData>
    <row r="2" spans="1:18" x14ac:dyDescent="0.25">
      <c r="A2" t="s">
        <v>30</v>
      </c>
      <c r="D2" s="5">
        <v>11479100</v>
      </c>
      <c r="P2" s="196">
        <f>P6-23000</f>
        <v>37000</v>
      </c>
    </row>
    <row r="3" spans="1:18" x14ac:dyDescent="0.25">
      <c r="E3" s="6"/>
      <c r="F3" s="6"/>
      <c r="G3" s="6"/>
      <c r="H3" s="7"/>
      <c r="I3" s="8"/>
    </row>
    <row r="4" spans="1:18" ht="45" x14ac:dyDescent="0.25">
      <c r="A4" s="4"/>
      <c r="B4" s="4" t="s">
        <v>248</v>
      </c>
      <c r="C4" s="4" t="s">
        <v>249</v>
      </c>
      <c r="D4" s="9" t="s">
        <v>31</v>
      </c>
      <c r="E4" s="10" t="s">
        <v>32</v>
      </c>
      <c r="F4" s="10" t="s">
        <v>250</v>
      </c>
      <c r="G4" s="10" t="s">
        <v>33</v>
      </c>
      <c r="H4" s="10" t="s">
        <v>34</v>
      </c>
      <c r="I4" s="10" t="s">
        <v>35</v>
      </c>
      <c r="J4" s="9" t="s">
        <v>24</v>
      </c>
      <c r="K4" s="9" t="s">
        <v>36</v>
      </c>
      <c r="L4" s="9" t="s">
        <v>37</v>
      </c>
      <c r="M4" s="9"/>
      <c r="N4" s="11" t="s">
        <v>38</v>
      </c>
      <c r="O4" s="11" t="s">
        <v>251</v>
      </c>
      <c r="P4" s="11"/>
      <c r="Q4" s="11" t="s">
        <v>47</v>
      </c>
      <c r="R4" s="11"/>
    </row>
    <row r="5" spans="1:18" ht="27" thickBot="1" x14ac:dyDescent="0.3">
      <c r="A5" s="12" t="s">
        <v>2</v>
      </c>
      <c r="B5" s="12">
        <v>51</v>
      </c>
      <c r="C5" s="12">
        <v>40</v>
      </c>
      <c r="D5" s="193">
        <v>51</v>
      </c>
      <c r="E5" s="13">
        <v>2</v>
      </c>
      <c r="F5" s="193">
        <v>690</v>
      </c>
      <c r="G5" s="14">
        <f>D5*$E$5*$F$5</f>
        <v>70380</v>
      </c>
      <c r="H5" s="193">
        <v>40</v>
      </c>
      <c r="I5" s="193"/>
      <c r="J5" s="193">
        <v>30.5</v>
      </c>
      <c r="K5" s="13">
        <v>26</v>
      </c>
      <c r="L5" s="14">
        <f>H5*$J$5*$K$5</f>
        <v>31720</v>
      </c>
      <c r="M5" s="14"/>
      <c r="N5" s="14">
        <f>G5+L5</f>
        <v>102100</v>
      </c>
      <c r="O5" s="14">
        <v>100000</v>
      </c>
      <c r="P5" s="205">
        <v>100000</v>
      </c>
      <c r="Q5" s="60">
        <v>90000</v>
      </c>
      <c r="R5" s="60">
        <f>O5-Q5</f>
        <v>10000</v>
      </c>
    </row>
    <row r="6" spans="1:18" ht="15.75" thickBot="1" x14ac:dyDescent="0.3">
      <c r="A6" s="12" t="s">
        <v>146</v>
      </c>
      <c r="B6" s="12">
        <v>30</v>
      </c>
      <c r="C6" s="12">
        <v>0</v>
      </c>
      <c r="D6" s="193">
        <v>30</v>
      </c>
      <c r="E6" s="193"/>
      <c r="F6" s="193"/>
      <c r="G6" s="14">
        <f>D6*$E$5*$F$5</f>
        <v>41400</v>
      </c>
      <c r="H6" s="193">
        <v>0</v>
      </c>
      <c r="I6" s="193"/>
      <c r="J6" s="4"/>
      <c r="K6" s="4">
        <v>23</v>
      </c>
      <c r="L6" s="14">
        <f t="shared" ref="L6:L16" si="0">H6*$J$5*$K$5</f>
        <v>0</v>
      </c>
      <c r="M6" s="14">
        <v>23000</v>
      </c>
      <c r="N6" s="14">
        <f>G6+M6</f>
        <v>64400</v>
      </c>
      <c r="O6" s="14">
        <v>65000</v>
      </c>
      <c r="P6" s="197">
        <v>60000</v>
      </c>
      <c r="Q6" s="60">
        <v>53120</v>
      </c>
      <c r="R6" s="60">
        <f t="shared" ref="R6:R15" si="1">O6-Q6</f>
        <v>11880</v>
      </c>
    </row>
    <row r="7" spans="1:18" ht="15.75" thickBot="1" x14ac:dyDescent="0.3">
      <c r="A7" s="12" t="s">
        <v>1</v>
      </c>
      <c r="B7" s="12">
        <v>8</v>
      </c>
      <c r="C7" s="12">
        <v>22</v>
      </c>
      <c r="D7" s="193">
        <v>8</v>
      </c>
      <c r="E7" s="193"/>
      <c r="F7" s="193"/>
      <c r="G7" s="14">
        <f t="shared" ref="G7:G16" si="2">D7*$E$5*$F$5</f>
        <v>11040</v>
      </c>
      <c r="H7" s="193">
        <v>22</v>
      </c>
      <c r="I7" s="193"/>
      <c r="J7" s="4"/>
      <c r="K7" s="4"/>
      <c r="L7" s="14">
        <f t="shared" si="0"/>
        <v>17446</v>
      </c>
      <c r="M7" s="14"/>
      <c r="N7" s="14">
        <f>G7+L7</f>
        <v>28486</v>
      </c>
      <c r="O7" s="14">
        <v>26500</v>
      </c>
      <c r="P7" s="205">
        <v>26600</v>
      </c>
      <c r="Q7" s="60">
        <v>24010</v>
      </c>
      <c r="R7" s="60">
        <f t="shared" si="1"/>
        <v>2490</v>
      </c>
    </row>
    <row r="8" spans="1:18" ht="27" thickBot="1" x14ac:dyDescent="0.3">
      <c r="A8" s="12" t="s">
        <v>25</v>
      </c>
      <c r="B8" s="12">
        <v>15</v>
      </c>
      <c r="C8" s="12">
        <v>135</v>
      </c>
      <c r="D8" s="193">
        <v>15</v>
      </c>
      <c r="E8" s="193"/>
      <c r="F8" s="193"/>
      <c r="G8" s="14">
        <f t="shared" si="2"/>
        <v>20700</v>
      </c>
      <c r="H8" s="193">
        <v>135</v>
      </c>
      <c r="I8" s="193"/>
      <c r="J8" s="4"/>
      <c r="K8" s="4"/>
      <c r="L8" s="14">
        <f t="shared" si="0"/>
        <v>107055</v>
      </c>
      <c r="M8" s="14"/>
      <c r="N8" s="14">
        <f>G8+L8</f>
        <v>127755</v>
      </c>
      <c r="O8" s="14">
        <v>115700</v>
      </c>
      <c r="P8" s="205">
        <v>115700</v>
      </c>
      <c r="Q8" s="60">
        <v>105000</v>
      </c>
      <c r="R8" s="60">
        <f t="shared" si="1"/>
        <v>10700</v>
      </c>
    </row>
    <row r="9" spans="1:18" ht="27" thickBot="1" x14ac:dyDescent="0.3">
      <c r="A9" s="12" t="s">
        <v>26</v>
      </c>
      <c r="B9" s="12">
        <v>35</v>
      </c>
      <c r="C9" s="12">
        <v>170</v>
      </c>
      <c r="D9" s="193">
        <v>35</v>
      </c>
      <c r="E9" s="193"/>
      <c r="F9" s="193"/>
      <c r="G9" s="14">
        <f t="shared" si="2"/>
        <v>48300</v>
      </c>
      <c r="H9" s="193">
        <v>170</v>
      </c>
      <c r="I9" s="193"/>
      <c r="J9" s="4"/>
      <c r="K9" s="4"/>
      <c r="L9" s="14">
        <f t="shared" si="0"/>
        <v>134810</v>
      </c>
      <c r="M9" s="14"/>
      <c r="N9" s="14">
        <f>G9+L9</f>
        <v>183110</v>
      </c>
      <c r="O9" s="14">
        <v>168000</v>
      </c>
      <c r="P9" s="205">
        <v>164450</v>
      </c>
      <c r="Q9" s="60">
        <v>144635</v>
      </c>
      <c r="R9" s="60">
        <f t="shared" si="1"/>
        <v>23365</v>
      </c>
    </row>
    <row r="10" spans="1:18" ht="27" thickBot="1" x14ac:dyDescent="0.3">
      <c r="A10" s="16" t="s">
        <v>27</v>
      </c>
      <c r="B10" s="16">
        <v>0</v>
      </c>
      <c r="C10" s="16">
        <v>0</v>
      </c>
      <c r="D10" s="17">
        <v>19</v>
      </c>
      <c r="E10" s="17"/>
      <c r="F10" s="17"/>
      <c r="G10" s="18">
        <f t="shared" si="2"/>
        <v>26220</v>
      </c>
      <c r="H10" s="17">
        <v>0</v>
      </c>
      <c r="I10" s="17"/>
      <c r="J10" s="19"/>
      <c r="K10" s="19"/>
      <c r="L10" s="18">
        <f t="shared" si="0"/>
        <v>0</v>
      </c>
      <c r="M10" s="18"/>
      <c r="N10" s="18">
        <f t="shared" ref="N10:N12" si="3">G10+L10</f>
        <v>26220</v>
      </c>
      <c r="O10" s="18">
        <v>26600</v>
      </c>
      <c r="P10" s="197">
        <v>26600</v>
      </c>
      <c r="Q10" s="68"/>
      <c r="R10" s="60">
        <f t="shared" si="1"/>
        <v>26600</v>
      </c>
    </row>
    <row r="11" spans="1:18" ht="27" thickBot="1" x14ac:dyDescent="0.3">
      <c r="A11" s="12" t="s">
        <v>44</v>
      </c>
      <c r="B11" s="12">
        <v>19</v>
      </c>
      <c r="C11" s="12">
        <v>0</v>
      </c>
      <c r="D11" s="193">
        <v>19</v>
      </c>
      <c r="E11" s="193"/>
      <c r="F11" s="193"/>
      <c r="G11" s="14">
        <f>D11*$E$5*$F$5</f>
        <v>26220</v>
      </c>
      <c r="H11" s="193">
        <v>0</v>
      </c>
      <c r="I11" s="193"/>
      <c r="J11" s="4"/>
      <c r="K11" s="4"/>
      <c r="L11" s="14">
        <f t="shared" si="0"/>
        <v>0</v>
      </c>
      <c r="M11" s="14"/>
      <c r="N11" s="14">
        <f t="shared" si="3"/>
        <v>26220</v>
      </c>
      <c r="O11" s="14">
        <v>26600</v>
      </c>
      <c r="P11" s="197">
        <v>26600</v>
      </c>
      <c r="Q11" s="60">
        <v>24000</v>
      </c>
      <c r="R11" s="60">
        <f t="shared" si="1"/>
        <v>2600</v>
      </c>
    </row>
    <row r="12" spans="1:18" ht="15.75" thickBot="1" x14ac:dyDescent="0.3">
      <c r="A12" s="12" t="s">
        <v>28</v>
      </c>
      <c r="B12" s="12">
        <v>15</v>
      </c>
      <c r="C12" s="12">
        <v>10</v>
      </c>
      <c r="D12" s="193">
        <v>15</v>
      </c>
      <c r="E12" s="193"/>
      <c r="F12" s="193"/>
      <c r="G12" s="14">
        <f>D12*$E$5*$F$5</f>
        <v>20700</v>
      </c>
      <c r="H12" s="193">
        <v>10</v>
      </c>
      <c r="I12" s="193"/>
      <c r="J12" s="4"/>
      <c r="K12" s="4"/>
      <c r="L12" s="14">
        <f t="shared" si="0"/>
        <v>7930</v>
      </c>
      <c r="M12" s="14"/>
      <c r="N12" s="14">
        <f t="shared" si="3"/>
        <v>28630</v>
      </c>
      <c r="O12" s="14">
        <v>27600</v>
      </c>
      <c r="P12" s="205">
        <v>28600</v>
      </c>
      <c r="Q12" s="60">
        <v>26000</v>
      </c>
      <c r="R12" s="60">
        <f t="shared" si="1"/>
        <v>1600</v>
      </c>
    </row>
    <row r="13" spans="1:18" ht="27" thickBot="1" x14ac:dyDescent="0.3">
      <c r="A13" s="12" t="s">
        <v>0</v>
      </c>
      <c r="B13" s="12">
        <v>10</v>
      </c>
      <c r="C13" s="12">
        <v>236</v>
      </c>
      <c r="D13" s="193">
        <v>10</v>
      </c>
      <c r="E13" s="193"/>
      <c r="F13" s="193"/>
      <c r="G13" s="14">
        <f>D13*E5*F5</f>
        <v>13800</v>
      </c>
      <c r="H13" s="193">
        <v>236</v>
      </c>
      <c r="I13" s="193">
        <v>255</v>
      </c>
      <c r="J13" s="4"/>
      <c r="K13" s="4">
        <v>650</v>
      </c>
      <c r="L13" s="14">
        <f>H13*$J$5*$K$5</f>
        <v>187148</v>
      </c>
      <c r="M13" s="14">
        <f>I13*K6*J5</f>
        <v>178882.5</v>
      </c>
      <c r="N13" s="14">
        <f>G13+L13+M13</f>
        <v>379830.5</v>
      </c>
      <c r="O13" s="14">
        <v>330000</v>
      </c>
      <c r="P13" s="205">
        <v>338000</v>
      </c>
      <c r="Q13" s="60">
        <v>365000</v>
      </c>
      <c r="R13" s="60">
        <f t="shared" si="1"/>
        <v>-35000</v>
      </c>
    </row>
    <row r="14" spans="1:18" ht="27" thickBot="1" x14ac:dyDescent="0.3">
      <c r="A14" s="12" t="s">
        <v>29</v>
      </c>
      <c r="B14" s="12">
        <v>10</v>
      </c>
      <c r="C14" s="12">
        <v>3</v>
      </c>
      <c r="D14" s="193">
        <v>10</v>
      </c>
      <c r="E14" s="193"/>
      <c r="F14" s="193"/>
      <c r="G14" s="14">
        <f t="shared" si="2"/>
        <v>13800</v>
      </c>
      <c r="H14" s="193">
        <v>3</v>
      </c>
      <c r="I14" s="193"/>
      <c r="J14" s="4"/>
      <c r="K14" s="4"/>
      <c r="L14" s="14">
        <f t="shared" si="0"/>
        <v>2379</v>
      </c>
      <c r="M14" s="14"/>
      <c r="N14" s="14">
        <f>G14+L14</f>
        <v>16179</v>
      </c>
      <c r="O14" s="14">
        <v>16450</v>
      </c>
      <c r="P14" s="205">
        <v>16450</v>
      </c>
      <c r="Q14" s="60">
        <v>15540</v>
      </c>
      <c r="R14" s="60">
        <f t="shared" si="1"/>
        <v>910</v>
      </c>
    </row>
    <row r="15" spans="1:18" ht="27" thickBot="1" x14ac:dyDescent="0.3">
      <c r="A15" s="26" t="s">
        <v>147</v>
      </c>
      <c r="B15" s="26">
        <v>5</v>
      </c>
      <c r="C15" s="26">
        <f>80+130</f>
        <v>210</v>
      </c>
      <c r="D15" s="193">
        <v>5</v>
      </c>
      <c r="E15" s="193"/>
      <c r="F15" s="193"/>
      <c r="G15" s="14">
        <f t="shared" si="2"/>
        <v>6900</v>
      </c>
      <c r="H15" s="193">
        <v>210</v>
      </c>
      <c r="I15" s="193"/>
      <c r="J15" s="4"/>
      <c r="K15" s="4"/>
      <c r="L15" s="14">
        <f t="shared" si="0"/>
        <v>166530</v>
      </c>
      <c r="M15" s="14"/>
      <c r="N15" s="14">
        <f>G15+L15</f>
        <v>173430</v>
      </c>
      <c r="O15" s="14">
        <v>150550</v>
      </c>
      <c r="P15" s="205">
        <v>150000</v>
      </c>
      <c r="Q15" s="60">
        <v>140850</v>
      </c>
      <c r="R15" s="60">
        <f t="shared" si="1"/>
        <v>9700</v>
      </c>
    </row>
    <row r="16" spans="1:18" x14ac:dyDescent="0.25">
      <c r="A16" s="198" t="s">
        <v>243</v>
      </c>
      <c r="B16" s="199"/>
      <c r="C16" s="199"/>
      <c r="D16" s="200">
        <v>17</v>
      </c>
      <c r="E16" s="200"/>
      <c r="F16" s="200"/>
      <c r="G16" s="192">
        <f t="shared" si="2"/>
        <v>23460</v>
      </c>
      <c r="H16" s="200">
        <v>0</v>
      </c>
      <c r="I16" s="200"/>
      <c r="J16" s="25"/>
      <c r="K16" s="25"/>
      <c r="L16" s="192">
        <f t="shared" si="0"/>
        <v>0</v>
      </c>
      <c r="M16" s="192"/>
      <c r="N16" s="192">
        <f>G16+L16</f>
        <v>23460</v>
      </c>
      <c r="O16" s="192">
        <v>23460</v>
      </c>
      <c r="P16" s="201"/>
      <c r="Q16" s="80"/>
      <c r="R16" s="80"/>
    </row>
    <row r="17" spans="1:18" ht="15.75" x14ac:dyDescent="0.25">
      <c r="A17" s="22" t="s">
        <v>39</v>
      </c>
      <c r="B17" s="22"/>
      <c r="C17" s="22"/>
      <c r="D17" s="23">
        <f>SUM(D5:D16)</f>
        <v>234</v>
      </c>
      <c r="E17" s="23"/>
      <c r="F17" s="23"/>
      <c r="G17" s="24">
        <f>SUM(G5:G16)</f>
        <v>322920</v>
      </c>
      <c r="H17" s="23">
        <f>SUM(H5:H16)</f>
        <v>826</v>
      </c>
      <c r="I17" s="23">
        <f>SUM(I5:I14)</f>
        <v>255</v>
      </c>
      <c r="J17" s="25"/>
      <c r="K17" s="25"/>
      <c r="L17" s="24">
        <f>SUM(L5:L16)</f>
        <v>655018</v>
      </c>
      <c r="M17" s="24"/>
      <c r="N17" s="24">
        <f>SUM(N5:N16)</f>
        <v>1179820.5</v>
      </c>
      <c r="O17" s="24">
        <f>SUM(O5:O16)</f>
        <v>1076460</v>
      </c>
      <c r="P17" s="24">
        <f>SUM(P5:P15)</f>
        <v>1053000</v>
      </c>
      <c r="Q17" s="69">
        <f>SUM(Q5:Q15)</f>
        <v>988155</v>
      </c>
      <c r="R17" s="69"/>
    </row>
    <row r="19" spans="1:18" x14ac:dyDescent="0.25">
      <c r="D19">
        <f>D17+H17+I17</f>
        <v>1315</v>
      </c>
      <c r="G19" s="20"/>
      <c r="L19" s="20"/>
      <c r="M19" s="20"/>
      <c r="N19" s="20"/>
      <c r="O19" s="20"/>
      <c r="P19" s="20">
        <f>P17*11</f>
        <v>11583000</v>
      </c>
      <c r="Q19" s="61" t="s">
        <v>148</v>
      </c>
      <c r="R19" s="202">
        <f>O17*11</f>
        <v>11841060</v>
      </c>
    </row>
    <row r="20" spans="1:18" x14ac:dyDescent="0.25">
      <c r="N20" s="20"/>
      <c r="O20" s="20"/>
      <c r="P20" s="20">
        <f>50000*11</f>
        <v>550000</v>
      </c>
      <c r="Q20" s="61" t="s">
        <v>149</v>
      </c>
      <c r="R20" s="203">
        <v>988400</v>
      </c>
    </row>
    <row r="21" spans="1:18" x14ac:dyDescent="0.25">
      <c r="N21" s="20"/>
      <c r="O21" s="20"/>
      <c r="P21" s="20">
        <f>Q17-20000</f>
        <v>968155</v>
      </c>
      <c r="Q21" s="61" t="s">
        <v>40</v>
      </c>
      <c r="R21" s="202">
        <f>R19+R20+R23</f>
        <v>13379460</v>
      </c>
    </row>
    <row r="22" spans="1:18" x14ac:dyDescent="0.25">
      <c r="P22" s="20">
        <f>P19+P20+P21</f>
        <v>13101155</v>
      </c>
      <c r="Q22" s="20"/>
      <c r="R22" s="20"/>
    </row>
    <row r="23" spans="1:18" x14ac:dyDescent="0.25">
      <c r="H23">
        <f>D17+H17+I17</f>
        <v>1315</v>
      </c>
      <c r="Q23" s="61" t="s">
        <v>158</v>
      </c>
      <c r="R23">
        <f>50000*11</f>
        <v>550000</v>
      </c>
    </row>
    <row r="24" spans="1:18" x14ac:dyDescent="0.25">
      <c r="N24" s="20"/>
      <c r="O24" s="20"/>
      <c r="P24" s="20">
        <f>23000*11+20000</f>
        <v>273000</v>
      </c>
    </row>
    <row r="25" spans="1:18" x14ac:dyDescent="0.25">
      <c r="N25" s="20"/>
      <c r="O25" s="20"/>
      <c r="P25" s="20">
        <f>P22-P24</f>
        <v>12828155</v>
      </c>
    </row>
    <row r="26" spans="1:18" x14ac:dyDescent="0.25">
      <c r="N26" s="1"/>
      <c r="O26" s="1"/>
      <c r="P26" s="1"/>
    </row>
    <row r="27" spans="1:18" x14ac:dyDescent="0.25">
      <c r="P27">
        <v>12848400</v>
      </c>
      <c r="Q27" s="20">
        <f>P27-P25</f>
        <v>20245</v>
      </c>
    </row>
    <row r="28" spans="1:18" x14ac:dyDescent="0.25">
      <c r="O28" s="20"/>
      <c r="P28" s="20"/>
    </row>
    <row r="30" spans="1:18" x14ac:dyDescent="0.25">
      <c r="O30" s="20">
        <f>N17-O28</f>
        <v>1179820.5</v>
      </c>
      <c r="P30" s="20"/>
    </row>
    <row r="32" spans="1:18" x14ac:dyDescent="0.25">
      <c r="O32">
        <f>1200000*12</f>
        <v>14400000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topLeftCell="C1" workbookViewId="0">
      <selection activeCell="J21" sqref="J21"/>
    </sheetView>
  </sheetViews>
  <sheetFormatPr defaultRowHeight="15" x14ac:dyDescent="0.25"/>
  <cols>
    <col min="1" max="1" width="3" bestFit="1" customWidth="1"/>
    <col min="2" max="2" width="53.5703125" customWidth="1"/>
    <col min="3" max="3" width="11.42578125" customWidth="1"/>
    <col min="4" max="4" width="10" customWidth="1"/>
    <col min="5" max="5" width="15" customWidth="1"/>
    <col min="6" max="6" width="14.5703125" customWidth="1"/>
    <col min="7" max="7" width="16.42578125" customWidth="1"/>
    <col min="8" max="8" width="10.42578125" customWidth="1"/>
    <col min="9" max="9" width="8.5703125" customWidth="1"/>
    <col min="10" max="10" width="11.5703125" customWidth="1"/>
    <col min="11" max="12" width="14.140625" customWidth="1"/>
    <col min="13" max="15" width="17.140625" customWidth="1"/>
    <col min="16" max="17" width="17.7109375" customWidth="1"/>
    <col min="18" max="18" width="9.140625" customWidth="1"/>
    <col min="19" max="19" width="9.5703125" bestFit="1" customWidth="1"/>
    <col min="232" max="232" width="68.28515625" customWidth="1"/>
    <col min="233" max="233" width="17.85546875" bestFit="1" customWidth="1"/>
    <col min="234" max="234" width="11.7109375" customWidth="1"/>
    <col min="235" max="235" width="10.7109375" customWidth="1"/>
    <col min="236" max="236" width="12" customWidth="1"/>
    <col min="237" max="237" width="14.85546875" customWidth="1"/>
    <col min="238" max="238" width="11.85546875" customWidth="1"/>
    <col min="239" max="239" width="10.42578125" customWidth="1"/>
    <col min="241" max="241" width="12.85546875" customWidth="1"/>
    <col min="242" max="242" width="16.140625" customWidth="1"/>
    <col min="244" max="244" width="15.140625" bestFit="1" customWidth="1"/>
    <col min="488" max="488" width="68.28515625" customWidth="1"/>
    <col min="489" max="489" width="17.85546875" bestFit="1" customWidth="1"/>
    <col min="490" max="490" width="11.7109375" customWidth="1"/>
    <col min="491" max="491" width="10.7109375" customWidth="1"/>
    <col min="492" max="492" width="12" customWidth="1"/>
    <col min="493" max="493" width="14.85546875" customWidth="1"/>
    <col min="494" max="494" width="11.85546875" customWidth="1"/>
    <col min="495" max="495" width="10.42578125" customWidth="1"/>
    <col min="497" max="497" width="12.85546875" customWidth="1"/>
    <col min="498" max="498" width="16.140625" customWidth="1"/>
    <col min="500" max="500" width="15.140625" bestFit="1" customWidth="1"/>
    <col min="744" max="744" width="68.28515625" customWidth="1"/>
    <col min="745" max="745" width="17.85546875" bestFit="1" customWidth="1"/>
    <col min="746" max="746" width="11.7109375" customWidth="1"/>
    <col min="747" max="747" width="10.7109375" customWidth="1"/>
    <col min="748" max="748" width="12" customWidth="1"/>
    <col min="749" max="749" width="14.85546875" customWidth="1"/>
    <col min="750" max="750" width="11.85546875" customWidth="1"/>
    <col min="751" max="751" width="10.42578125" customWidth="1"/>
    <col min="753" max="753" width="12.85546875" customWidth="1"/>
    <col min="754" max="754" width="16.140625" customWidth="1"/>
    <col min="756" max="756" width="15.140625" bestFit="1" customWidth="1"/>
    <col min="1000" max="1000" width="68.28515625" customWidth="1"/>
    <col min="1001" max="1001" width="17.85546875" bestFit="1" customWidth="1"/>
    <col min="1002" max="1002" width="11.7109375" customWidth="1"/>
    <col min="1003" max="1003" width="10.7109375" customWidth="1"/>
    <col min="1004" max="1004" width="12" customWidth="1"/>
    <col min="1005" max="1005" width="14.85546875" customWidth="1"/>
    <col min="1006" max="1006" width="11.85546875" customWidth="1"/>
    <col min="1007" max="1007" width="10.42578125" customWidth="1"/>
    <col min="1009" max="1009" width="12.85546875" customWidth="1"/>
    <col min="1010" max="1010" width="16.140625" customWidth="1"/>
    <col min="1012" max="1012" width="15.140625" bestFit="1" customWidth="1"/>
    <col min="1256" max="1256" width="68.28515625" customWidth="1"/>
    <col min="1257" max="1257" width="17.85546875" bestFit="1" customWidth="1"/>
    <col min="1258" max="1258" width="11.7109375" customWidth="1"/>
    <col min="1259" max="1259" width="10.7109375" customWidth="1"/>
    <col min="1260" max="1260" width="12" customWidth="1"/>
    <col min="1261" max="1261" width="14.85546875" customWidth="1"/>
    <col min="1262" max="1262" width="11.85546875" customWidth="1"/>
    <col min="1263" max="1263" width="10.42578125" customWidth="1"/>
    <col min="1265" max="1265" width="12.85546875" customWidth="1"/>
    <col min="1266" max="1266" width="16.140625" customWidth="1"/>
    <col min="1268" max="1268" width="15.140625" bestFit="1" customWidth="1"/>
    <col min="1512" max="1512" width="68.28515625" customWidth="1"/>
    <col min="1513" max="1513" width="17.85546875" bestFit="1" customWidth="1"/>
    <col min="1514" max="1514" width="11.7109375" customWidth="1"/>
    <col min="1515" max="1515" width="10.7109375" customWidth="1"/>
    <col min="1516" max="1516" width="12" customWidth="1"/>
    <col min="1517" max="1517" width="14.85546875" customWidth="1"/>
    <col min="1518" max="1518" width="11.85546875" customWidth="1"/>
    <col min="1519" max="1519" width="10.42578125" customWidth="1"/>
    <col min="1521" max="1521" width="12.85546875" customWidth="1"/>
    <col min="1522" max="1522" width="16.140625" customWidth="1"/>
    <col min="1524" max="1524" width="15.140625" bestFit="1" customWidth="1"/>
    <col min="1768" max="1768" width="68.28515625" customWidth="1"/>
    <col min="1769" max="1769" width="17.85546875" bestFit="1" customWidth="1"/>
    <col min="1770" max="1770" width="11.7109375" customWidth="1"/>
    <col min="1771" max="1771" width="10.7109375" customWidth="1"/>
    <col min="1772" max="1772" width="12" customWidth="1"/>
    <col min="1773" max="1773" width="14.85546875" customWidth="1"/>
    <col min="1774" max="1774" width="11.85546875" customWidth="1"/>
    <col min="1775" max="1775" width="10.42578125" customWidth="1"/>
    <col min="1777" max="1777" width="12.85546875" customWidth="1"/>
    <col min="1778" max="1778" width="16.140625" customWidth="1"/>
    <col min="1780" max="1780" width="15.140625" bestFit="1" customWidth="1"/>
    <col min="2024" max="2024" width="68.28515625" customWidth="1"/>
    <col min="2025" max="2025" width="17.85546875" bestFit="1" customWidth="1"/>
    <col min="2026" max="2026" width="11.7109375" customWidth="1"/>
    <col min="2027" max="2027" width="10.7109375" customWidth="1"/>
    <col min="2028" max="2028" width="12" customWidth="1"/>
    <col min="2029" max="2029" width="14.85546875" customWidth="1"/>
    <col min="2030" max="2030" width="11.85546875" customWidth="1"/>
    <col min="2031" max="2031" width="10.42578125" customWidth="1"/>
    <col min="2033" max="2033" width="12.85546875" customWidth="1"/>
    <col min="2034" max="2034" width="16.140625" customWidth="1"/>
    <col min="2036" max="2036" width="15.140625" bestFit="1" customWidth="1"/>
    <col min="2280" max="2280" width="68.28515625" customWidth="1"/>
    <col min="2281" max="2281" width="17.85546875" bestFit="1" customWidth="1"/>
    <col min="2282" max="2282" width="11.7109375" customWidth="1"/>
    <col min="2283" max="2283" width="10.7109375" customWidth="1"/>
    <col min="2284" max="2284" width="12" customWidth="1"/>
    <col min="2285" max="2285" width="14.85546875" customWidth="1"/>
    <col min="2286" max="2286" width="11.85546875" customWidth="1"/>
    <col min="2287" max="2287" width="10.42578125" customWidth="1"/>
    <col min="2289" max="2289" width="12.85546875" customWidth="1"/>
    <col min="2290" max="2290" width="16.140625" customWidth="1"/>
    <col min="2292" max="2292" width="15.140625" bestFit="1" customWidth="1"/>
    <col min="2536" max="2536" width="68.28515625" customWidth="1"/>
    <col min="2537" max="2537" width="17.85546875" bestFit="1" customWidth="1"/>
    <col min="2538" max="2538" width="11.7109375" customWidth="1"/>
    <col min="2539" max="2539" width="10.7109375" customWidth="1"/>
    <col min="2540" max="2540" width="12" customWidth="1"/>
    <col min="2541" max="2541" width="14.85546875" customWidth="1"/>
    <col min="2542" max="2542" width="11.85546875" customWidth="1"/>
    <col min="2543" max="2543" width="10.42578125" customWidth="1"/>
    <col min="2545" max="2545" width="12.85546875" customWidth="1"/>
    <col min="2546" max="2546" width="16.140625" customWidth="1"/>
    <col min="2548" max="2548" width="15.140625" bestFit="1" customWidth="1"/>
    <col min="2792" max="2792" width="68.28515625" customWidth="1"/>
    <col min="2793" max="2793" width="17.85546875" bestFit="1" customWidth="1"/>
    <col min="2794" max="2794" width="11.7109375" customWidth="1"/>
    <col min="2795" max="2795" width="10.7109375" customWidth="1"/>
    <col min="2796" max="2796" width="12" customWidth="1"/>
    <col min="2797" max="2797" width="14.85546875" customWidth="1"/>
    <col min="2798" max="2798" width="11.85546875" customWidth="1"/>
    <col min="2799" max="2799" width="10.42578125" customWidth="1"/>
    <col min="2801" max="2801" width="12.85546875" customWidth="1"/>
    <col min="2802" max="2802" width="16.140625" customWidth="1"/>
    <col min="2804" max="2804" width="15.140625" bestFit="1" customWidth="1"/>
    <col min="3048" max="3048" width="68.28515625" customWidth="1"/>
    <col min="3049" max="3049" width="17.85546875" bestFit="1" customWidth="1"/>
    <col min="3050" max="3050" width="11.7109375" customWidth="1"/>
    <col min="3051" max="3051" width="10.7109375" customWidth="1"/>
    <col min="3052" max="3052" width="12" customWidth="1"/>
    <col min="3053" max="3053" width="14.85546875" customWidth="1"/>
    <col min="3054" max="3054" width="11.85546875" customWidth="1"/>
    <col min="3055" max="3055" width="10.42578125" customWidth="1"/>
    <col min="3057" max="3057" width="12.85546875" customWidth="1"/>
    <col min="3058" max="3058" width="16.140625" customWidth="1"/>
    <col min="3060" max="3060" width="15.140625" bestFit="1" customWidth="1"/>
    <col min="3304" max="3304" width="68.28515625" customWidth="1"/>
    <col min="3305" max="3305" width="17.85546875" bestFit="1" customWidth="1"/>
    <col min="3306" max="3306" width="11.7109375" customWidth="1"/>
    <col min="3307" max="3307" width="10.7109375" customWidth="1"/>
    <col min="3308" max="3308" width="12" customWidth="1"/>
    <col min="3309" max="3309" width="14.85546875" customWidth="1"/>
    <col min="3310" max="3310" width="11.85546875" customWidth="1"/>
    <col min="3311" max="3311" width="10.42578125" customWidth="1"/>
    <col min="3313" max="3313" width="12.85546875" customWidth="1"/>
    <col min="3314" max="3314" width="16.140625" customWidth="1"/>
    <col min="3316" max="3316" width="15.140625" bestFit="1" customWidth="1"/>
    <col min="3560" max="3560" width="68.28515625" customWidth="1"/>
    <col min="3561" max="3561" width="17.85546875" bestFit="1" customWidth="1"/>
    <col min="3562" max="3562" width="11.7109375" customWidth="1"/>
    <col min="3563" max="3563" width="10.7109375" customWidth="1"/>
    <col min="3564" max="3564" width="12" customWidth="1"/>
    <col min="3565" max="3565" width="14.85546875" customWidth="1"/>
    <col min="3566" max="3566" width="11.85546875" customWidth="1"/>
    <col min="3567" max="3567" width="10.42578125" customWidth="1"/>
    <col min="3569" max="3569" width="12.85546875" customWidth="1"/>
    <col min="3570" max="3570" width="16.140625" customWidth="1"/>
    <col min="3572" max="3572" width="15.140625" bestFit="1" customWidth="1"/>
    <col min="3816" max="3816" width="68.28515625" customWidth="1"/>
    <col min="3817" max="3817" width="17.85546875" bestFit="1" customWidth="1"/>
    <col min="3818" max="3818" width="11.7109375" customWidth="1"/>
    <col min="3819" max="3819" width="10.7109375" customWidth="1"/>
    <col min="3820" max="3820" width="12" customWidth="1"/>
    <col min="3821" max="3821" width="14.85546875" customWidth="1"/>
    <col min="3822" max="3822" width="11.85546875" customWidth="1"/>
    <col min="3823" max="3823" width="10.42578125" customWidth="1"/>
    <col min="3825" max="3825" width="12.85546875" customWidth="1"/>
    <col min="3826" max="3826" width="16.140625" customWidth="1"/>
    <col min="3828" max="3828" width="15.140625" bestFit="1" customWidth="1"/>
    <col min="4072" max="4072" width="68.28515625" customWidth="1"/>
    <col min="4073" max="4073" width="17.85546875" bestFit="1" customWidth="1"/>
    <col min="4074" max="4074" width="11.7109375" customWidth="1"/>
    <col min="4075" max="4075" width="10.7109375" customWidth="1"/>
    <col min="4076" max="4076" width="12" customWidth="1"/>
    <col min="4077" max="4077" width="14.85546875" customWidth="1"/>
    <col min="4078" max="4078" width="11.85546875" customWidth="1"/>
    <col min="4079" max="4079" width="10.42578125" customWidth="1"/>
    <col min="4081" max="4081" width="12.85546875" customWidth="1"/>
    <col min="4082" max="4082" width="16.140625" customWidth="1"/>
    <col min="4084" max="4084" width="15.140625" bestFit="1" customWidth="1"/>
    <col min="4328" max="4328" width="68.28515625" customWidth="1"/>
    <col min="4329" max="4329" width="17.85546875" bestFit="1" customWidth="1"/>
    <col min="4330" max="4330" width="11.7109375" customWidth="1"/>
    <col min="4331" max="4331" width="10.7109375" customWidth="1"/>
    <col min="4332" max="4332" width="12" customWidth="1"/>
    <col min="4333" max="4333" width="14.85546875" customWidth="1"/>
    <col min="4334" max="4334" width="11.85546875" customWidth="1"/>
    <col min="4335" max="4335" width="10.42578125" customWidth="1"/>
    <col min="4337" max="4337" width="12.85546875" customWidth="1"/>
    <col min="4338" max="4338" width="16.140625" customWidth="1"/>
    <col min="4340" max="4340" width="15.140625" bestFit="1" customWidth="1"/>
    <col min="4584" max="4584" width="68.28515625" customWidth="1"/>
    <col min="4585" max="4585" width="17.85546875" bestFit="1" customWidth="1"/>
    <col min="4586" max="4586" width="11.7109375" customWidth="1"/>
    <col min="4587" max="4587" width="10.7109375" customWidth="1"/>
    <col min="4588" max="4588" width="12" customWidth="1"/>
    <col min="4589" max="4589" width="14.85546875" customWidth="1"/>
    <col min="4590" max="4590" width="11.85546875" customWidth="1"/>
    <col min="4591" max="4591" width="10.42578125" customWidth="1"/>
    <col min="4593" max="4593" width="12.85546875" customWidth="1"/>
    <col min="4594" max="4594" width="16.140625" customWidth="1"/>
    <col min="4596" max="4596" width="15.140625" bestFit="1" customWidth="1"/>
    <col min="4840" max="4840" width="68.28515625" customWidth="1"/>
    <col min="4841" max="4841" width="17.85546875" bestFit="1" customWidth="1"/>
    <col min="4842" max="4842" width="11.7109375" customWidth="1"/>
    <col min="4843" max="4843" width="10.7109375" customWidth="1"/>
    <col min="4844" max="4844" width="12" customWidth="1"/>
    <col min="4845" max="4845" width="14.85546875" customWidth="1"/>
    <col min="4846" max="4846" width="11.85546875" customWidth="1"/>
    <col min="4847" max="4847" width="10.42578125" customWidth="1"/>
    <col min="4849" max="4849" width="12.85546875" customWidth="1"/>
    <col min="4850" max="4850" width="16.140625" customWidth="1"/>
    <col min="4852" max="4852" width="15.140625" bestFit="1" customWidth="1"/>
    <col min="5096" max="5096" width="68.28515625" customWidth="1"/>
    <col min="5097" max="5097" width="17.85546875" bestFit="1" customWidth="1"/>
    <col min="5098" max="5098" width="11.7109375" customWidth="1"/>
    <col min="5099" max="5099" width="10.7109375" customWidth="1"/>
    <col min="5100" max="5100" width="12" customWidth="1"/>
    <col min="5101" max="5101" width="14.85546875" customWidth="1"/>
    <col min="5102" max="5102" width="11.85546875" customWidth="1"/>
    <col min="5103" max="5103" width="10.42578125" customWidth="1"/>
    <col min="5105" max="5105" width="12.85546875" customWidth="1"/>
    <col min="5106" max="5106" width="16.140625" customWidth="1"/>
    <col min="5108" max="5108" width="15.140625" bestFit="1" customWidth="1"/>
    <col min="5352" max="5352" width="68.28515625" customWidth="1"/>
    <col min="5353" max="5353" width="17.85546875" bestFit="1" customWidth="1"/>
    <col min="5354" max="5354" width="11.7109375" customWidth="1"/>
    <col min="5355" max="5355" width="10.7109375" customWidth="1"/>
    <col min="5356" max="5356" width="12" customWidth="1"/>
    <col min="5357" max="5357" width="14.85546875" customWidth="1"/>
    <col min="5358" max="5358" width="11.85546875" customWidth="1"/>
    <col min="5359" max="5359" width="10.42578125" customWidth="1"/>
    <col min="5361" max="5361" width="12.85546875" customWidth="1"/>
    <col min="5362" max="5362" width="16.140625" customWidth="1"/>
    <col min="5364" max="5364" width="15.140625" bestFit="1" customWidth="1"/>
    <col min="5608" max="5608" width="68.28515625" customWidth="1"/>
    <col min="5609" max="5609" width="17.85546875" bestFit="1" customWidth="1"/>
    <col min="5610" max="5610" width="11.7109375" customWidth="1"/>
    <col min="5611" max="5611" width="10.7109375" customWidth="1"/>
    <col min="5612" max="5612" width="12" customWidth="1"/>
    <col min="5613" max="5613" width="14.85546875" customWidth="1"/>
    <col min="5614" max="5614" width="11.85546875" customWidth="1"/>
    <col min="5615" max="5615" width="10.42578125" customWidth="1"/>
    <col min="5617" max="5617" width="12.85546875" customWidth="1"/>
    <col min="5618" max="5618" width="16.140625" customWidth="1"/>
    <col min="5620" max="5620" width="15.140625" bestFit="1" customWidth="1"/>
    <col min="5864" max="5864" width="68.28515625" customWidth="1"/>
    <col min="5865" max="5865" width="17.85546875" bestFit="1" customWidth="1"/>
    <col min="5866" max="5866" width="11.7109375" customWidth="1"/>
    <col min="5867" max="5867" width="10.7109375" customWidth="1"/>
    <col min="5868" max="5868" width="12" customWidth="1"/>
    <col min="5869" max="5869" width="14.85546875" customWidth="1"/>
    <col min="5870" max="5870" width="11.85546875" customWidth="1"/>
    <col min="5871" max="5871" width="10.42578125" customWidth="1"/>
    <col min="5873" max="5873" width="12.85546875" customWidth="1"/>
    <col min="5874" max="5874" width="16.140625" customWidth="1"/>
    <col min="5876" max="5876" width="15.140625" bestFit="1" customWidth="1"/>
    <col min="6120" max="6120" width="68.28515625" customWidth="1"/>
    <col min="6121" max="6121" width="17.85546875" bestFit="1" customWidth="1"/>
    <col min="6122" max="6122" width="11.7109375" customWidth="1"/>
    <col min="6123" max="6123" width="10.7109375" customWidth="1"/>
    <col min="6124" max="6124" width="12" customWidth="1"/>
    <col min="6125" max="6125" width="14.85546875" customWidth="1"/>
    <col min="6126" max="6126" width="11.85546875" customWidth="1"/>
    <col min="6127" max="6127" width="10.42578125" customWidth="1"/>
    <col min="6129" max="6129" width="12.85546875" customWidth="1"/>
    <col min="6130" max="6130" width="16.140625" customWidth="1"/>
    <col min="6132" max="6132" width="15.140625" bestFit="1" customWidth="1"/>
    <col min="6376" max="6376" width="68.28515625" customWidth="1"/>
    <col min="6377" max="6377" width="17.85546875" bestFit="1" customWidth="1"/>
    <col min="6378" max="6378" width="11.7109375" customWidth="1"/>
    <col min="6379" max="6379" width="10.7109375" customWidth="1"/>
    <col min="6380" max="6380" width="12" customWidth="1"/>
    <col min="6381" max="6381" width="14.85546875" customWidth="1"/>
    <col min="6382" max="6382" width="11.85546875" customWidth="1"/>
    <col min="6383" max="6383" width="10.42578125" customWidth="1"/>
    <col min="6385" max="6385" width="12.85546875" customWidth="1"/>
    <col min="6386" max="6386" width="16.140625" customWidth="1"/>
    <col min="6388" max="6388" width="15.140625" bestFit="1" customWidth="1"/>
    <col min="6632" max="6632" width="68.28515625" customWidth="1"/>
    <col min="6633" max="6633" width="17.85546875" bestFit="1" customWidth="1"/>
    <col min="6634" max="6634" width="11.7109375" customWidth="1"/>
    <col min="6635" max="6635" width="10.7109375" customWidth="1"/>
    <col min="6636" max="6636" width="12" customWidth="1"/>
    <col min="6637" max="6637" width="14.85546875" customWidth="1"/>
    <col min="6638" max="6638" width="11.85546875" customWidth="1"/>
    <col min="6639" max="6639" width="10.42578125" customWidth="1"/>
    <col min="6641" max="6641" width="12.85546875" customWidth="1"/>
    <col min="6642" max="6642" width="16.140625" customWidth="1"/>
    <col min="6644" max="6644" width="15.140625" bestFit="1" customWidth="1"/>
    <col min="6888" max="6888" width="68.28515625" customWidth="1"/>
    <col min="6889" max="6889" width="17.85546875" bestFit="1" customWidth="1"/>
    <col min="6890" max="6890" width="11.7109375" customWidth="1"/>
    <col min="6891" max="6891" width="10.7109375" customWidth="1"/>
    <col min="6892" max="6892" width="12" customWidth="1"/>
    <col min="6893" max="6893" width="14.85546875" customWidth="1"/>
    <col min="6894" max="6894" width="11.85546875" customWidth="1"/>
    <col min="6895" max="6895" width="10.42578125" customWidth="1"/>
    <col min="6897" max="6897" width="12.85546875" customWidth="1"/>
    <col min="6898" max="6898" width="16.140625" customWidth="1"/>
    <col min="6900" max="6900" width="15.140625" bestFit="1" customWidth="1"/>
    <col min="7144" max="7144" width="68.28515625" customWidth="1"/>
    <col min="7145" max="7145" width="17.85546875" bestFit="1" customWidth="1"/>
    <col min="7146" max="7146" width="11.7109375" customWidth="1"/>
    <col min="7147" max="7147" width="10.7109375" customWidth="1"/>
    <col min="7148" max="7148" width="12" customWidth="1"/>
    <col min="7149" max="7149" width="14.85546875" customWidth="1"/>
    <col min="7150" max="7150" width="11.85546875" customWidth="1"/>
    <col min="7151" max="7151" width="10.42578125" customWidth="1"/>
    <col min="7153" max="7153" width="12.85546875" customWidth="1"/>
    <col min="7154" max="7154" width="16.140625" customWidth="1"/>
    <col min="7156" max="7156" width="15.140625" bestFit="1" customWidth="1"/>
    <col min="7400" max="7400" width="68.28515625" customWidth="1"/>
    <col min="7401" max="7401" width="17.85546875" bestFit="1" customWidth="1"/>
    <col min="7402" max="7402" width="11.7109375" customWidth="1"/>
    <col min="7403" max="7403" width="10.7109375" customWidth="1"/>
    <col min="7404" max="7404" width="12" customWidth="1"/>
    <col min="7405" max="7405" width="14.85546875" customWidth="1"/>
    <col min="7406" max="7406" width="11.85546875" customWidth="1"/>
    <col min="7407" max="7407" width="10.42578125" customWidth="1"/>
    <col min="7409" max="7409" width="12.85546875" customWidth="1"/>
    <col min="7410" max="7410" width="16.140625" customWidth="1"/>
    <col min="7412" max="7412" width="15.140625" bestFit="1" customWidth="1"/>
    <col min="7656" max="7656" width="68.28515625" customWidth="1"/>
    <col min="7657" max="7657" width="17.85546875" bestFit="1" customWidth="1"/>
    <col min="7658" max="7658" width="11.7109375" customWidth="1"/>
    <col min="7659" max="7659" width="10.7109375" customWidth="1"/>
    <col min="7660" max="7660" width="12" customWidth="1"/>
    <col min="7661" max="7661" width="14.85546875" customWidth="1"/>
    <col min="7662" max="7662" width="11.85546875" customWidth="1"/>
    <col min="7663" max="7663" width="10.42578125" customWidth="1"/>
    <col min="7665" max="7665" width="12.85546875" customWidth="1"/>
    <col min="7666" max="7666" width="16.140625" customWidth="1"/>
    <col min="7668" max="7668" width="15.140625" bestFit="1" customWidth="1"/>
    <col min="7912" max="7912" width="68.28515625" customWidth="1"/>
    <col min="7913" max="7913" width="17.85546875" bestFit="1" customWidth="1"/>
    <col min="7914" max="7914" width="11.7109375" customWidth="1"/>
    <col min="7915" max="7915" width="10.7109375" customWidth="1"/>
    <col min="7916" max="7916" width="12" customWidth="1"/>
    <col min="7917" max="7917" width="14.85546875" customWidth="1"/>
    <col min="7918" max="7918" width="11.85546875" customWidth="1"/>
    <col min="7919" max="7919" width="10.42578125" customWidth="1"/>
    <col min="7921" max="7921" width="12.85546875" customWidth="1"/>
    <col min="7922" max="7922" width="16.140625" customWidth="1"/>
    <col min="7924" max="7924" width="15.140625" bestFit="1" customWidth="1"/>
    <col min="8168" max="8168" width="68.28515625" customWidth="1"/>
    <col min="8169" max="8169" width="17.85546875" bestFit="1" customWidth="1"/>
    <col min="8170" max="8170" width="11.7109375" customWidth="1"/>
    <col min="8171" max="8171" width="10.7109375" customWidth="1"/>
    <col min="8172" max="8172" width="12" customWidth="1"/>
    <col min="8173" max="8173" width="14.85546875" customWidth="1"/>
    <col min="8174" max="8174" width="11.85546875" customWidth="1"/>
    <col min="8175" max="8175" width="10.42578125" customWidth="1"/>
    <col min="8177" max="8177" width="12.85546875" customWidth="1"/>
    <col min="8178" max="8178" width="16.140625" customWidth="1"/>
    <col min="8180" max="8180" width="15.140625" bestFit="1" customWidth="1"/>
    <col min="8424" max="8424" width="68.28515625" customWidth="1"/>
    <col min="8425" max="8425" width="17.85546875" bestFit="1" customWidth="1"/>
    <col min="8426" max="8426" width="11.7109375" customWidth="1"/>
    <col min="8427" max="8427" width="10.7109375" customWidth="1"/>
    <col min="8428" max="8428" width="12" customWidth="1"/>
    <col min="8429" max="8429" width="14.85546875" customWidth="1"/>
    <col min="8430" max="8430" width="11.85546875" customWidth="1"/>
    <col min="8431" max="8431" width="10.42578125" customWidth="1"/>
    <col min="8433" max="8433" width="12.85546875" customWidth="1"/>
    <col min="8434" max="8434" width="16.140625" customWidth="1"/>
    <col min="8436" max="8436" width="15.140625" bestFit="1" customWidth="1"/>
    <col min="8680" max="8680" width="68.28515625" customWidth="1"/>
    <col min="8681" max="8681" width="17.85546875" bestFit="1" customWidth="1"/>
    <col min="8682" max="8682" width="11.7109375" customWidth="1"/>
    <col min="8683" max="8683" width="10.7109375" customWidth="1"/>
    <col min="8684" max="8684" width="12" customWidth="1"/>
    <col min="8685" max="8685" width="14.85546875" customWidth="1"/>
    <col min="8686" max="8686" width="11.85546875" customWidth="1"/>
    <col min="8687" max="8687" width="10.42578125" customWidth="1"/>
    <col min="8689" max="8689" width="12.85546875" customWidth="1"/>
    <col min="8690" max="8690" width="16.140625" customWidth="1"/>
    <col min="8692" max="8692" width="15.140625" bestFit="1" customWidth="1"/>
    <col min="8936" max="8936" width="68.28515625" customWidth="1"/>
    <col min="8937" max="8937" width="17.85546875" bestFit="1" customWidth="1"/>
    <col min="8938" max="8938" width="11.7109375" customWidth="1"/>
    <col min="8939" max="8939" width="10.7109375" customWidth="1"/>
    <col min="8940" max="8940" width="12" customWidth="1"/>
    <col min="8941" max="8941" width="14.85546875" customWidth="1"/>
    <col min="8942" max="8942" width="11.85546875" customWidth="1"/>
    <col min="8943" max="8943" width="10.42578125" customWidth="1"/>
    <col min="8945" max="8945" width="12.85546875" customWidth="1"/>
    <col min="8946" max="8946" width="16.140625" customWidth="1"/>
    <col min="8948" max="8948" width="15.140625" bestFit="1" customWidth="1"/>
    <col min="9192" max="9192" width="68.28515625" customWidth="1"/>
    <col min="9193" max="9193" width="17.85546875" bestFit="1" customWidth="1"/>
    <col min="9194" max="9194" width="11.7109375" customWidth="1"/>
    <col min="9195" max="9195" width="10.7109375" customWidth="1"/>
    <col min="9196" max="9196" width="12" customWidth="1"/>
    <col min="9197" max="9197" width="14.85546875" customWidth="1"/>
    <col min="9198" max="9198" width="11.85546875" customWidth="1"/>
    <col min="9199" max="9199" width="10.42578125" customWidth="1"/>
    <col min="9201" max="9201" width="12.85546875" customWidth="1"/>
    <col min="9202" max="9202" width="16.140625" customWidth="1"/>
    <col min="9204" max="9204" width="15.140625" bestFit="1" customWidth="1"/>
    <col min="9448" max="9448" width="68.28515625" customWidth="1"/>
    <col min="9449" max="9449" width="17.85546875" bestFit="1" customWidth="1"/>
    <col min="9450" max="9450" width="11.7109375" customWidth="1"/>
    <col min="9451" max="9451" width="10.7109375" customWidth="1"/>
    <col min="9452" max="9452" width="12" customWidth="1"/>
    <col min="9453" max="9453" width="14.85546875" customWidth="1"/>
    <col min="9454" max="9454" width="11.85546875" customWidth="1"/>
    <col min="9455" max="9455" width="10.42578125" customWidth="1"/>
    <col min="9457" max="9457" width="12.85546875" customWidth="1"/>
    <col min="9458" max="9458" width="16.140625" customWidth="1"/>
    <col min="9460" max="9460" width="15.140625" bestFit="1" customWidth="1"/>
    <col min="9704" max="9704" width="68.28515625" customWidth="1"/>
    <col min="9705" max="9705" width="17.85546875" bestFit="1" customWidth="1"/>
    <col min="9706" max="9706" width="11.7109375" customWidth="1"/>
    <col min="9707" max="9707" width="10.7109375" customWidth="1"/>
    <col min="9708" max="9708" width="12" customWidth="1"/>
    <col min="9709" max="9709" width="14.85546875" customWidth="1"/>
    <col min="9710" max="9710" width="11.85546875" customWidth="1"/>
    <col min="9711" max="9711" width="10.42578125" customWidth="1"/>
    <col min="9713" max="9713" width="12.85546875" customWidth="1"/>
    <col min="9714" max="9714" width="16.140625" customWidth="1"/>
    <col min="9716" max="9716" width="15.140625" bestFit="1" customWidth="1"/>
    <col min="9960" max="9960" width="68.28515625" customWidth="1"/>
    <col min="9961" max="9961" width="17.85546875" bestFit="1" customWidth="1"/>
    <col min="9962" max="9962" width="11.7109375" customWidth="1"/>
    <col min="9963" max="9963" width="10.7109375" customWidth="1"/>
    <col min="9964" max="9964" width="12" customWidth="1"/>
    <col min="9965" max="9965" width="14.85546875" customWidth="1"/>
    <col min="9966" max="9966" width="11.85546875" customWidth="1"/>
    <col min="9967" max="9967" width="10.42578125" customWidth="1"/>
    <col min="9969" max="9969" width="12.85546875" customWidth="1"/>
    <col min="9970" max="9970" width="16.140625" customWidth="1"/>
    <col min="9972" max="9972" width="15.140625" bestFit="1" customWidth="1"/>
    <col min="10216" max="10216" width="68.28515625" customWidth="1"/>
    <col min="10217" max="10217" width="17.85546875" bestFit="1" customWidth="1"/>
    <col min="10218" max="10218" width="11.7109375" customWidth="1"/>
    <col min="10219" max="10219" width="10.7109375" customWidth="1"/>
    <col min="10220" max="10220" width="12" customWidth="1"/>
    <col min="10221" max="10221" width="14.85546875" customWidth="1"/>
    <col min="10222" max="10222" width="11.85546875" customWidth="1"/>
    <col min="10223" max="10223" width="10.42578125" customWidth="1"/>
    <col min="10225" max="10225" width="12.85546875" customWidth="1"/>
    <col min="10226" max="10226" width="16.140625" customWidth="1"/>
    <col min="10228" max="10228" width="15.140625" bestFit="1" customWidth="1"/>
    <col min="10472" max="10472" width="68.28515625" customWidth="1"/>
    <col min="10473" max="10473" width="17.85546875" bestFit="1" customWidth="1"/>
    <col min="10474" max="10474" width="11.7109375" customWidth="1"/>
    <col min="10475" max="10475" width="10.7109375" customWidth="1"/>
    <col min="10476" max="10476" width="12" customWidth="1"/>
    <col min="10477" max="10477" width="14.85546875" customWidth="1"/>
    <col min="10478" max="10478" width="11.85546875" customWidth="1"/>
    <col min="10479" max="10479" width="10.42578125" customWidth="1"/>
    <col min="10481" max="10481" width="12.85546875" customWidth="1"/>
    <col min="10482" max="10482" width="16.140625" customWidth="1"/>
    <col min="10484" max="10484" width="15.140625" bestFit="1" customWidth="1"/>
    <col min="10728" max="10728" width="68.28515625" customWidth="1"/>
    <col min="10729" max="10729" width="17.85546875" bestFit="1" customWidth="1"/>
    <col min="10730" max="10730" width="11.7109375" customWidth="1"/>
    <col min="10731" max="10731" width="10.7109375" customWidth="1"/>
    <col min="10732" max="10732" width="12" customWidth="1"/>
    <col min="10733" max="10733" width="14.85546875" customWidth="1"/>
    <col min="10734" max="10734" width="11.85546875" customWidth="1"/>
    <col min="10735" max="10735" width="10.42578125" customWidth="1"/>
    <col min="10737" max="10737" width="12.85546875" customWidth="1"/>
    <col min="10738" max="10738" width="16.140625" customWidth="1"/>
    <col min="10740" max="10740" width="15.140625" bestFit="1" customWidth="1"/>
    <col min="10984" max="10984" width="68.28515625" customWidth="1"/>
    <col min="10985" max="10985" width="17.85546875" bestFit="1" customWidth="1"/>
    <col min="10986" max="10986" width="11.7109375" customWidth="1"/>
    <col min="10987" max="10987" width="10.7109375" customWidth="1"/>
    <col min="10988" max="10988" width="12" customWidth="1"/>
    <col min="10989" max="10989" width="14.85546875" customWidth="1"/>
    <col min="10990" max="10990" width="11.85546875" customWidth="1"/>
    <col min="10991" max="10991" width="10.42578125" customWidth="1"/>
    <col min="10993" max="10993" width="12.85546875" customWidth="1"/>
    <col min="10994" max="10994" width="16.140625" customWidth="1"/>
    <col min="10996" max="10996" width="15.140625" bestFit="1" customWidth="1"/>
    <col min="11240" max="11240" width="68.28515625" customWidth="1"/>
    <col min="11241" max="11241" width="17.85546875" bestFit="1" customWidth="1"/>
    <col min="11242" max="11242" width="11.7109375" customWidth="1"/>
    <col min="11243" max="11243" width="10.7109375" customWidth="1"/>
    <col min="11244" max="11244" width="12" customWidth="1"/>
    <col min="11245" max="11245" width="14.85546875" customWidth="1"/>
    <col min="11246" max="11246" width="11.85546875" customWidth="1"/>
    <col min="11247" max="11247" width="10.42578125" customWidth="1"/>
    <col min="11249" max="11249" width="12.85546875" customWidth="1"/>
    <col min="11250" max="11250" width="16.140625" customWidth="1"/>
    <col min="11252" max="11252" width="15.140625" bestFit="1" customWidth="1"/>
    <col min="11496" max="11496" width="68.28515625" customWidth="1"/>
    <col min="11497" max="11497" width="17.85546875" bestFit="1" customWidth="1"/>
    <col min="11498" max="11498" width="11.7109375" customWidth="1"/>
    <col min="11499" max="11499" width="10.7109375" customWidth="1"/>
    <col min="11500" max="11500" width="12" customWidth="1"/>
    <col min="11501" max="11501" width="14.85546875" customWidth="1"/>
    <col min="11502" max="11502" width="11.85546875" customWidth="1"/>
    <col min="11503" max="11503" width="10.42578125" customWidth="1"/>
    <col min="11505" max="11505" width="12.85546875" customWidth="1"/>
    <col min="11506" max="11506" width="16.140625" customWidth="1"/>
    <col min="11508" max="11508" width="15.140625" bestFit="1" customWidth="1"/>
    <col min="11752" max="11752" width="68.28515625" customWidth="1"/>
    <col min="11753" max="11753" width="17.85546875" bestFit="1" customWidth="1"/>
    <col min="11754" max="11754" width="11.7109375" customWidth="1"/>
    <col min="11755" max="11755" width="10.7109375" customWidth="1"/>
    <col min="11756" max="11756" width="12" customWidth="1"/>
    <col min="11757" max="11757" width="14.85546875" customWidth="1"/>
    <col min="11758" max="11758" width="11.85546875" customWidth="1"/>
    <col min="11759" max="11759" width="10.42578125" customWidth="1"/>
    <col min="11761" max="11761" width="12.85546875" customWidth="1"/>
    <col min="11762" max="11762" width="16.140625" customWidth="1"/>
    <col min="11764" max="11764" width="15.140625" bestFit="1" customWidth="1"/>
    <col min="12008" max="12008" width="68.28515625" customWidth="1"/>
    <col min="12009" max="12009" width="17.85546875" bestFit="1" customWidth="1"/>
    <col min="12010" max="12010" width="11.7109375" customWidth="1"/>
    <col min="12011" max="12011" width="10.7109375" customWidth="1"/>
    <col min="12012" max="12012" width="12" customWidth="1"/>
    <col min="12013" max="12013" width="14.85546875" customWidth="1"/>
    <col min="12014" max="12014" width="11.85546875" customWidth="1"/>
    <col min="12015" max="12015" width="10.42578125" customWidth="1"/>
    <col min="12017" max="12017" width="12.85546875" customWidth="1"/>
    <col min="12018" max="12018" width="16.140625" customWidth="1"/>
    <col min="12020" max="12020" width="15.140625" bestFit="1" customWidth="1"/>
    <col min="12264" max="12264" width="68.28515625" customWidth="1"/>
    <col min="12265" max="12265" width="17.85546875" bestFit="1" customWidth="1"/>
    <col min="12266" max="12266" width="11.7109375" customWidth="1"/>
    <col min="12267" max="12267" width="10.7109375" customWidth="1"/>
    <col min="12268" max="12268" width="12" customWidth="1"/>
    <col min="12269" max="12269" width="14.85546875" customWidth="1"/>
    <col min="12270" max="12270" width="11.85546875" customWidth="1"/>
    <col min="12271" max="12271" width="10.42578125" customWidth="1"/>
    <col min="12273" max="12273" width="12.85546875" customWidth="1"/>
    <col min="12274" max="12274" width="16.140625" customWidth="1"/>
    <col min="12276" max="12276" width="15.140625" bestFit="1" customWidth="1"/>
    <col min="12520" max="12520" width="68.28515625" customWidth="1"/>
    <col min="12521" max="12521" width="17.85546875" bestFit="1" customWidth="1"/>
    <col min="12522" max="12522" width="11.7109375" customWidth="1"/>
    <col min="12523" max="12523" width="10.7109375" customWidth="1"/>
    <col min="12524" max="12524" width="12" customWidth="1"/>
    <col min="12525" max="12525" width="14.85546875" customWidth="1"/>
    <col min="12526" max="12526" width="11.85546875" customWidth="1"/>
    <col min="12527" max="12527" width="10.42578125" customWidth="1"/>
    <col min="12529" max="12529" width="12.85546875" customWidth="1"/>
    <col min="12530" max="12530" width="16.140625" customWidth="1"/>
    <col min="12532" max="12532" width="15.140625" bestFit="1" customWidth="1"/>
    <col min="12776" max="12776" width="68.28515625" customWidth="1"/>
    <col min="12777" max="12777" width="17.85546875" bestFit="1" customWidth="1"/>
    <col min="12778" max="12778" width="11.7109375" customWidth="1"/>
    <col min="12779" max="12779" width="10.7109375" customWidth="1"/>
    <col min="12780" max="12780" width="12" customWidth="1"/>
    <col min="12781" max="12781" width="14.85546875" customWidth="1"/>
    <col min="12782" max="12782" width="11.85546875" customWidth="1"/>
    <col min="12783" max="12783" width="10.42578125" customWidth="1"/>
    <col min="12785" max="12785" width="12.85546875" customWidth="1"/>
    <col min="12786" max="12786" width="16.140625" customWidth="1"/>
    <col min="12788" max="12788" width="15.140625" bestFit="1" customWidth="1"/>
    <col min="13032" max="13032" width="68.28515625" customWidth="1"/>
    <col min="13033" max="13033" width="17.85546875" bestFit="1" customWidth="1"/>
    <col min="13034" max="13034" width="11.7109375" customWidth="1"/>
    <col min="13035" max="13035" width="10.7109375" customWidth="1"/>
    <col min="13036" max="13036" width="12" customWidth="1"/>
    <col min="13037" max="13037" width="14.85546875" customWidth="1"/>
    <col min="13038" max="13038" width="11.85546875" customWidth="1"/>
    <col min="13039" max="13039" width="10.42578125" customWidth="1"/>
    <col min="13041" max="13041" width="12.85546875" customWidth="1"/>
    <col min="13042" max="13042" width="16.140625" customWidth="1"/>
    <col min="13044" max="13044" width="15.140625" bestFit="1" customWidth="1"/>
    <col min="13288" max="13288" width="68.28515625" customWidth="1"/>
    <col min="13289" max="13289" width="17.85546875" bestFit="1" customWidth="1"/>
    <col min="13290" max="13290" width="11.7109375" customWidth="1"/>
    <col min="13291" max="13291" width="10.7109375" customWidth="1"/>
    <col min="13292" max="13292" width="12" customWidth="1"/>
    <col min="13293" max="13293" width="14.85546875" customWidth="1"/>
    <col min="13294" max="13294" width="11.85546875" customWidth="1"/>
    <col min="13295" max="13295" width="10.42578125" customWidth="1"/>
    <col min="13297" max="13297" width="12.85546875" customWidth="1"/>
    <col min="13298" max="13298" width="16.140625" customWidth="1"/>
    <col min="13300" max="13300" width="15.140625" bestFit="1" customWidth="1"/>
    <col min="13544" max="13544" width="68.28515625" customWidth="1"/>
    <col min="13545" max="13545" width="17.85546875" bestFit="1" customWidth="1"/>
    <col min="13546" max="13546" width="11.7109375" customWidth="1"/>
    <col min="13547" max="13547" width="10.7109375" customWidth="1"/>
    <col min="13548" max="13548" width="12" customWidth="1"/>
    <col min="13549" max="13549" width="14.85546875" customWidth="1"/>
    <col min="13550" max="13550" width="11.85546875" customWidth="1"/>
    <col min="13551" max="13551" width="10.42578125" customWidth="1"/>
    <col min="13553" max="13553" width="12.85546875" customWidth="1"/>
    <col min="13554" max="13554" width="16.140625" customWidth="1"/>
    <col min="13556" max="13556" width="15.140625" bestFit="1" customWidth="1"/>
    <col min="13800" max="13800" width="68.28515625" customWidth="1"/>
    <col min="13801" max="13801" width="17.85546875" bestFit="1" customWidth="1"/>
    <col min="13802" max="13802" width="11.7109375" customWidth="1"/>
    <col min="13803" max="13803" width="10.7109375" customWidth="1"/>
    <col min="13804" max="13804" width="12" customWidth="1"/>
    <col min="13805" max="13805" width="14.85546875" customWidth="1"/>
    <col min="13806" max="13806" width="11.85546875" customWidth="1"/>
    <col min="13807" max="13807" width="10.42578125" customWidth="1"/>
    <col min="13809" max="13809" width="12.85546875" customWidth="1"/>
    <col min="13810" max="13810" width="16.140625" customWidth="1"/>
    <col min="13812" max="13812" width="15.140625" bestFit="1" customWidth="1"/>
    <col min="14056" max="14056" width="68.28515625" customWidth="1"/>
    <col min="14057" max="14057" width="17.85546875" bestFit="1" customWidth="1"/>
    <col min="14058" max="14058" width="11.7109375" customWidth="1"/>
    <col min="14059" max="14059" width="10.7109375" customWidth="1"/>
    <col min="14060" max="14060" width="12" customWidth="1"/>
    <col min="14061" max="14061" width="14.85546875" customWidth="1"/>
    <col min="14062" max="14062" width="11.85546875" customWidth="1"/>
    <col min="14063" max="14063" width="10.42578125" customWidth="1"/>
    <col min="14065" max="14065" width="12.85546875" customWidth="1"/>
    <col min="14066" max="14066" width="16.140625" customWidth="1"/>
    <col min="14068" max="14068" width="15.140625" bestFit="1" customWidth="1"/>
    <col min="14312" max="14312" width="68.28515625" customWidth="1"/>
    <col min="14313" max="14313" width="17.85546875" bestFit="1" customWidth="1"/>
    <col min="14314" max="14314" width="11.7109375" customWidth="1"/>
    <col min="14315" max="14315" width="10.7109375" customWidth="1"/>
    <col min="14316" max="14316" width="12" customWidth="1"/>
    <col min="14317" max="14317" width="14.85546875" customWidth="1"/>
    <col min="14318" max="14318" width="11.85546875" customWidth="1"/>
    <col min="14319" max="14319" width="10.42578125" customWidth="1"/>
    <col min="14321" max="14321" width="12.85546875" customWidth="1"/>
    <col min="14322" max="14322" width="16.140625" customWidth="1"/>
    <col min="14324" max="14324" width="15.140625" bestFit="1" customWidth="1"/>
    <col min="14568" max="14568" width="68.28515625" customWidth="1"/>
    <col min="14569" max="14569" width="17.85546875" bestFit="1" customWidth="1"/>
    <col min="14570" max="14570" width="11.7109375" customWidth="1"/>
    <col min="14571" max="14571" width="10.7109375" customWidth="1"/>
    <col min="14572" max="14572" width="12" customWidth="1"/>
    <col min="14573" max="14573" width="14.85546875" customWidth="1"/>
    <col min="14574" max="14574" width="11.85546875" customWidth="1"/>
    <col min="14575" max="14575" width="10.42578125" customWidth="1"/>
    <col min="14577" max="14577" width="12.85546875" customWidth="1"/>
    <col min="14578" max="14578" width="16.140625" customWidth="1"/>
    <col min="14580" max="14580" width="15.140625" bestFit="1" customWidth="1"/>
    <col min="14824" max="14824" width="68.28515625" customWidth="1"/>
    <col min="14825" max="14825" width="17.85546875" bestFit="1" customWidth="1"/>
    <col min="14826" max="14826" width="11.7109375" customWidth="1"/>
    <col min="14827" max="14827" width="10.7109375" customWidth="1"/>
    <col min="14828" max="14828" width="12" customWidth="1"/>
    <col min="14829" max="14829" width="14.85546875" customWidth="1"/>
    <col min="14830" max="14830" width="11.85546875" customWidth="1"/>
    <col min="14831" max="14831" width="10.42578125" customWidth="1"/>
    <col min="14833" max="14833" width="12.85546875" customWidth="1"/>
    <col min="14834" max="14834" width="16.140625" customWidth="1"/>
    <col min="14836" max="14836" width="15.140625" bestFit="1" customWidth="1"/>
    <col min="15080" max="15080" width="68.28515625" customWidth="1"/>
    <col min="15081" max="15081" width="17.85546875" bestFit="1" customWidth="1"/>
    <col min="15082" max="15082" width="11.7109375" customWidth="1"/>
    <col min="15083" max="15083" width="10.7109375" customWidth="1"/>
    <col min="15084" max="15084" width="12" customWidth="1"/>
    <col min="15085" max="15085" width="14.85546875" customWidth="1"/>
    <col min="15086" max="15086" width="11.85546875" customWidth="1"/>
    <col min="15087" max="15087" width="10.42578125" customWidth="1"/>
    <col min="15089" max="15089" width="12.85546875" customWidth="1"/>
    <col min="15090" max="15090" width="16.140625" customWidth="1"/>
    <col min="15092" max="15092" width="15.140625" bestFit="1" customWidth="1"/>
    <col min="15336" max="15336" width="68.28515625" customWidth="1"/>
    <col min="15337" max="15337" width="17.85546875" bestFit="1" customWidth="1"/>
    <col min="15338" max="15338" width="11.7109375" customWidth="1"/>
    <col min="15339" max="15339" width="10.7109375" customWidth="1"/>
    <col min="15340" max="15340" width="12" customWidth="1"/>
    <col min="15341" max="15341" width="14.85546875" customWidth="1"/>
    <col min="15342" max="15342" width="11.85546875" customWidth="1"/>
    <col min="15343" max="15343" width="10.42578125" customWidth="1"/>
    <col min="15345" max="15345" width="12.85546875" customWidth="1"/>
    <col min="15346" max="15346" width="16.140625" customWidth="1"/>
    <col min="15348" max="15348" width="15.140625" bestFit="1" customWidth="1"/>
    <col min="15592" max="15592" width="68.28515625" customWidth="1"/>
    <col min="15593" max="15593" width="17.85546875" bestFit="1" customWidth="1"/>
    <col min="15594" max="15594" width="11.7109375" customWidth="1"/>
    <col min="15595" max="15595" width="10.7109375" customWidth="1"/>
    <col min="15596" max="15596" width="12" customWidth="1"/>
    <col min="15597" max="15597" width="14.85546875" customWidth="1"/>
    <col min="15598" max="15598" width="11.85546875" customWidth="1"/>
    <col min="15599" max="15599" width="10.42578125" customWidth="1"/>
    <col min="15601" max="15601" width="12.85546875" customWidth="1"/>
    <col min="15602" max="15602" width="16.140625" customWidth="1"/>
    <col min="15604" max="15604" width="15.140625" bestFit="1" customWidth="1"/>
    <col min="15848" max="15848" width="68.28515625" customWidth="1"/>
    <col min="15849" max="15849" width="17.85546875" bestFit="1" customWidth="1"/>
    <col min="15850" max="15850" width="11.7109375" customWidth="1"/>
    <col min="15851" max="15851" width="10.7109375" customWidth="1"/>
    <col min="15852" max="15852" width="12" customWidth="1"/>
    <col min="15853" max="15853" width="14.85546875" customWidth="1"/>
    <col min="15854" max="15854" width="11.85546875" customWidth="1"/>
    <col min="15855" max="15855" width="10.42578125" customWidth="1"/>
    <col min="15857" max="15857" width="12.85546875" customWidth="1"/>
    <col min="15858" max="15858" width="16.140625" customWidth="1"/>
    <col min="15860" max="15860" width="15.140625" bestFit="1" customWidth="1"/>
    <col min="16104" max="16104" width="68.28515625" customWidth="1"/>
    <col min="16105" max="16105" width="17.85546875" bestFit="1" customWidth="1"/>
    <col min="16106" max="16106" width="11.7109375" customWidth="1"/>
    <col min="16107" max="16107" width="10.7109375" customWidth="1"/>
    <col min="16108" max="16108" width="12" customWidth="1"/>
    <col min="16109" max="16109" width="14.85546875" customWidth="1"/>
    <col min="16110" max="16110" width="11.85546875" customWidth="1"/>
    <col min="16111" max="16111" width="10.42578125" customWidth="1"/>
    <col min="16113" max="16113" width="12.85546875" customWidth="1"/>
    <col min="16114" max="16114" width="16.140625" customWidth="1"/>
    <col min="16116" max="16116" width="15.140625" bestFit="1" customWidth="1"/>
  </cols>
  <sheetData>
    <row r="2" spans="1:17" ht="30" x14ac:dyDescent="0.25">
      <c r="B2" s="210" t="s">
        <v>265</v>
      </c>
      <c r="C2" s="5">
        <v>12793700</v>
      </c>
      <c r="O2" s="196"/>
    </row>
    <row r="3" spans="1:17" ht="30" x14ac:dyDescent="0.25">
      <c r="B3" s="210" t="s">
        <v>266</v>
      </c>
      <c r="C3" s="5">
        <v>350000</v>
      </c>
      <c r="O3" s="196"/>
    </row>
    <row r="4" spans="1:17" x14ac:dyDescent="0.25">
      <c r="D4" s="6"/>
      <c r="E4" s="6"/>
      <c r="F4" s="6"/>
      <c r="G4" s="7"/>
      <c r="H4" s="8"/>
    </row>
    <row r="5" spans="1:17" ht="78.75" x14ac:dyDescent="0.25">
      <c r="A5" s="4"/>
      <c r="B5" s="4"/>
      <c r="C5" s="9" t="s">
        <v>31</v>
      </c>
      <c r="D5" s="10" t="s">
        <v>32</v>
      </c>
      <c r="E5" s="10" t="s">
        <v>253</v>
      </c>
      <c r="F5" s="10" t="s">
        <v>254</v>
      </c>
      <c r="G5" s="10" t="s">
        <v>34</v>
      </c>
      <c r="H5" s="10" t="s">
        <v>35</v>
      </c>
      <c r="I5" s="9" t="s">
        <v>24</v>
      </c>
      <c r="J5" s="9" t="s">
        <v>255</v>
      </c>
      <c r="K5" s="9" t="s">
        <v>256</v>
      </c>
      <c r="L5" s="9" t="s">
        <v>257</v>
      </c>
      <c r="M5" s="11" t="s">
        <v>258</v>
      </c>
      <c r="N5" s="11" t="s">
        <v>259</v>
      </c>
      <c r="O5" s="11" t="s">
        <v>260</v>
      </c>
      <c r="P5" s="11" t="s">
        <v>47</v>
      </c>
      <c r="Q5" s="11"/>
    </row>
    <row r="6" spans="1:17" ht="26.25" x14ac:dyDescent="0.25">
      <c r="A6" s="4">
        <v>1</v>
      </c>
      <c r="B6" s="12" t="s">
        <v>2</v>
      </c>
      <c r="C6" s="204">
        <v>51</v>
      </c>
      <c r="D6" s="13">
        <v>2</v>
      </c>
      <c r="E6" s="204">
        <v>690</v>
      </c>
      <c r="F6" s="14">
        <f t="shared" ref="F6:F12" si="0">C6*$D$6*$E$6</f>
        <v>70380</v>
      </c>
      <c r="G6" s="204">
        <v>40</v>
      </c>
      <c r="H6" s="204"/>
      <c r="I6" s="204">
        <v>30.5</v>
      </c>
      <c r="J6" s="13">
        <v>26</v>
      </c>
      <c r="K6" s="14">
        <f t="shared" ref="K6:K15" si="1">G6*$I$6*$J$6</f>
        <v>31720</v>
      </c>
      <c r="L6" s="14"/>
      <c r="M6" s="14">
        <f>F6+K6</f>
        <v>102100</v>
      </c>
      <c r="N6" s="14">
        <v>100000</v>
      </c>
      <c r="O6" s="207"/>
      <c r="P6" s="206">
        <v>90000</v>
      </c>
      <c r="Q6" s="60">
        <f>N6-P6</f>
        <v>10000</v>
      </c>
    </row>
    <row r="7" spans="1:17" x14ac:dyDescent="0.25">
      <c r="A7" s="4">
        <v>2</v>
      </c>
      <c r="B7" s="12" t="s">
        <v>252</v>
      </c>
      <c r="C7" s="204">
        <v>30</v>
      </c>
      <c r="D7" s="204"/>
      <c r="E7" s="204"/>
      <c r="F7" s="14">
        <f t="shared" si="0"/>
        <v>41400</v>
      </c>
      <c r="G7" s="204">
        <v>0</v>
      </c>
      <c r="H7" s="204"/>
      <c r="I7" s="4"/>
      <c r="J7" s="4">
        <v>23</v>
      </c>
      <c r="K7" s="14">
        <f t="shared" si="1"/>
        <v>0</v>
      </c>
      <c r="L7" s="14">
        <v>30000</v>
      </c>
      <c r="M7" s="14">
        <f>F7+L7</f>
        <v>71400</v>
      </c>
      <c r="N7" s="14">
        <v>43000</v>
      </c>
      <c r="O7" s="207">
        <v>30000</v>
      </c>
      <c r="P7" s="206">
        <v>53120</v>
      </c>
      <c r="Q7" s="60">
        <f t="shared" ref="Q7:Q15" si="2">N7-P7</f>
        <v>-10120</v>
      </c>
    </row>
    <row r="8" spans="1:17" x14ac:dyDescent="0.25">
      <c r="A8" s="4">
        <v>3</v>
      </c>
      <c r="B8" s="12" t="s">
        <v>1</v>
      </c>
      <c r="C8" s="204">
        <v>8</v>
      </c>
      <c r="D8" s="204"/>
      <c r="E8" s="204"/>
      <c r="F8" s="14">
        <f t="shared" si="0"/>
        <v>11040</v>
      </c>
      <c r="G8" s="204">
        <v>22</v>
      </c>
      <c r="H8" s="204"/>
      <c r="I8" s="4"/>
      <c r="J8" s="4"/>
      <c r="K8" s="14">
        <f t="shared" si="1"/>
        <v>17446</v>
      </c>
      <c r="L8" s="14"/>
      <c r="M8" s="14">
        <f>F8+K8</f>
        <v>28486</v>
      </c>
      <c r="N8" s="14">
        <v>26600</v>
      </c>
      <c r="O8" s="207"/>
      <c r="P8" s="206">
        <v>24010</v>
      </c>
      <c r="Q8" s="60">
        <f t="shared" si="2"/>
        <v>2590</v>
      </c>
    </row>
    <row r="9" spans="1:17" ht="26.25" x14ac:dyDescent="0.25">
      <c r="A9" s="4">
        <v>4</v>
      </c>
      <c r="B9" s="12" t="s">
        <v>25</v>
      </c>
      <c r="C9" s="204">
        <v>15</v>
      </c>
      <c r="D9" s="204"/>
      <c r="E9" s="204"/>
      <c r="F9" s="14">
        <f t="shared" si="0"/>
        <v>20700</v>
      </c>
      <c r="G9" s="204">
        <v>135</v>
      </c>
      <c r="H9" s="204"/>
      <c r="I9" s="4"/>
      <c r="J9" s="4"/>
      <c r="K9" s="14">
        <f t="shared" si="1"/>
        <v>107055</v>
      </c>
      <c r="L9" s="14"/>
      <c r="M9" s="14">
        <f>F9+K9</f>
        <v>127755</v>
      </c>
      <c r="N9" s="14">
        <v>115700</v>
      </c>
      <c r="O9" s="207"/>
      <c r="P9" s="206">
        <v>105000</v>
      </c>
      <c r="Q9" s="60">
        <f t="shared" si="2"/>
        <v>10700</v>
      </c>
    </row>
    <row r="10" spans="1:17" ht="26.25" x14ac:dyDescent="0.25">
      <c r="A10" s="4">
        <v>5</v>
      </c>
      <c r="B10" s="12" t="s">
        <v>26</v>
      </c>
      <c r="C10" s="204">
        <v>35</v>
      </c>
      <c r="D10" s="204"/>
      <c r="E10" s="204"/>
      <c r="F10" s="14">
        <f t="shared" si="0"/>
        <v>48300</v>
      </c>
      <c r="G10" s="204">
        <v>170</v>
      </c>
      <c r="H10" s="204"/>
      <c r="I10" s="4"/>
      <c r="J10" s="4"/>
      <c r="K10" s="14">
        <f t="shared" si="1"/>
        <v>134810</v>
      </c>
      <c r="L10" s="14"/>
      <c r="M10" s="14">
        <f>F10+K10</f>
        <v>183110</v>
      </c>
      <c r="N10" s="14">
        <v>165000</v>
      </c>
      <c r="O10" s="207"/>
      <c r="P10" s="206">
        <v>144635</v>
      </c>
      <c r="Q10" s="60">
        <f t="shared" si="2"/>
        <v>20365</v>
      </c>
    </row>
    <row r="11" spans="1:17" ht="26.25" x14ac:dyDescent="0.25">
      <c r="A11" s="4">
        <v>6</v>
      </c>
      <c r="B11" s="12" t="s">
        <v>44</v>
      </c>
      <c r="C11" s="204">
        <v>19</v>
      </c>
      <c r="D11" s="204"/>
      <c r="E11" s="204"/>
      <c r="F11" s="14">
        <f t="shared" si="0"/>
        <v>26220</v>
      </c>
      <c r="G11" s="204">
        <v>0</v>
      </c>
      <c r="H11" s="204"/>
      <c r="I11" s="4"/>
      <c r="J11" s="4"/>
      <c r="K11" s="14">
        <f t="shared" si="1"/>
        <v>0</v>
      </c>
      <c r="L11" s="14"/>
      <c r="M11" s="14">
        <f t="shared" ref="M11:M12" si="3">F11+K11</f>
        <v>26220</v>
      </c>
      <c r="N11" s="14">
        <v>37600</v>
      </c>
      <c r="O11" s="207"/>
      <c r="P11" s="206">
        <v>24000</v>
      </c>
      <c r="Q11" s="60">
        <f t="shared" si="2"/>
        <v>13600</v>
      </c>
    </row>
    <row r="12" spans="1:17" x14ac:dyDescent="0.25">
      <c r="A12" s="4">
        <v>7</v>
      </c>
      <c r="B12" s="12" t="s">
        <v>28</v>
      </c>
      <c r="C12" s="204">
        <v>15</v>
      </c>
      <c r="D12" s="204"/>
      <c r="E12" s="204"/>
      <c r="F12" s="14">
        <f t="shared" si="0"/>
        <v>20700</v>
      </c>
      <c r="G12" s="204">
        <v>10</v>
      </c>
      <c r="H12" s="204"/>
      <c r="I12" s="4"/>
      <c r="J12" s="4"/>
      <c r="K12" s="14">
        <f t="shared" si="1"/>
        <v>7930</v>
      </c>
      <c r="L12" s="14"/>
      <c r="M12" s="14">
        <f t="shared" si="3"/>
        <v>28630</v>
      </c>
      <c r="N12" s="14">
        <v>28600</v>
      </c>
      <c r="O12" s="207"/>
      <c r="P12" s="206">
        <v>26000</v>
      </c>
      <c r="Q12" s="60">
        <f t="shared" si="2"/>
        <v>2600</v>
      </c>
    </row>
    <row r="13" spans="1:17" ht="26.25" x14ac:dyDescent="0.25">
      <c r="A13" s="4">
        <v>8</v>
      </c>
      <c r="B13" s="12" t="s">
        <v>0</v>
      </c>
      <c r="C13" s="204">
        <v>10</v>
      </c>
      <c r="D13" s="204"/>
      <c r="E13" s="204"/>
      <c r="F13" s="14">
        <f>C13*D6*E6</f>
        <v>13800</v>
      </c>
      <c r="G13" s="204">
        <v>236</v>
      </c>
      <c r="H13" s="204">
        <v>255</v>
      </c>
      <c r="I13" s="4"/>
      <c r="J13" s="4"/>
      <c r="K13" s="14">
        <f t="shared" si="1"/>
        <v>187148</v>
      </c>
      <c r="L13" s="14">
        <f>H13*J7*I6</f>
        <v>178882.5</v>
      </c>
      <c r="M13" s="14">
        <f>F13+K13+L13</f>
        <v>379830.5</v>
      </c>
      <c r="N13" s="14">
        <v>340000</v>
      </c>
      <c r="O13" s="207"/>
      <c r="P13" s="206">
        <v>365000</v>
      </c>
      <c r="Q13" s="60">
        <f t="shared" si="2"/>
        <v>-25000</v>
      </c>
    </row>
    <row r="14" spans="1:17" ht="26.25" x14ac:dyDescent="0.25">
      <c r="A14" s="4">
        <v>9</v>
      </c>
      <c r="B14" s="12" t="s">
        <v>29</v>
      </c>
      <c r="C14" s="204">
        <v>10</v>
      </c>
      <c r="D14" s="204"/>
      <c r="E14" s="204"/>
      <c r="F14" s="14">
        <f>C14*$D$6*$E$6</f>
        <v>13800</v>
      </c>
      <c r="G14" s="204">
        <v>3</v>
      </c>
      <c r="H14" s="204"/>
      <c r="I14" s="4"/>
      <c r="J14" s="4"/>
      <c r="K14" s="14">
        <f t="shared" si="1"/>
        <v>2379</v>
      </c>
      <c r="L14" s="14"/>
      <c r="M14" s="14">
        <f>F14+K14</f>
        <v>16179</v>
      </c>
      <c r="N14" s="14">
        <v>16500</v>
      </c>
      <c r="O14" s="207"/>
      <c r="P14" s="206">
        <v>15540</v>
      </c>
      <c r="Q14" s="60">
        <f t="shared" si="2"/>
        <v>960</v>
      </c>
    </row>
    <row r="15" spans="1:17" ht="26.25" x14ac:dyDescent="0.25">
      <c r="A15" s="4">
        <v>10</v>
      </c>
      <c r="B15" s="26" t="s">
        <v>147</v>
      </c>
      <c r="C15" s="204">
        <v>5</v>
      </c>
      <c r="D15" s="204"/>
      <c r="E15" s="204"/>
      <c r="F15" s="14">
        <f>C15*$D$6*$E$6</f>
        <v>6900</v>
      </c>
      <c r="G15" s="204">
        <v>210</v>
      </c>
      <c r="H15" s="204"/>
      <c r="I15" s="4"/>
      <c r="J15" s="4"/>
      <c r="K15" s="14">
        <f t="shared" si="1"/>
        <v>166530</v>
      </c>
      <c r="L15" s="14"/>
      <c r="M15" s="14">
        <f>F15+K15</f>
        <v>173430</v>
      </c>
      <c r="N15" s="14">
        <v>150000</v>
      </c>
      <c r="O15" s="207"/>
      <c r="P15" s="206">
        <v>140850</v>
      </c>
      <c r="Q15" s="60">
        <f t="shared" si="2"/>
        <v>9150</v>
      </c>
    </row>
    <row r="16" spans="1:17" ht="15.75" x14ac:dyDescent="0.25">
      <c r="A16" s="4"/>
      <c r="B16" s="22" t="s">
        <v>39</v>
      </c>
      <c r="C16" s="23">
        <f>SUM(C6:C15)</f>
        <v>198</v>
      </c>
      <c r="D16" s="23"/>
      <c r="E16" s="23"/>
      <c r="F16" s="24">
        <f>SUM(F6:F15)</f>
        <v>273240</v>
      </c>
      <c r="G16" s="23">
        <f>SUM(G6:G15)</f>
        <v>826</v>
      </c>
      <c r="H16" s="23">
        <f>SUM(H6:H14)</f>
        <v>255</v>
      </c>
      <c r="I16" s="25"/>
      <c r="J16" s="25"/>
      <c r="K16" s="24">
        <f>SUM(K6:K15)</f>
        <v>655018</v>
      </c>
      <c r="L16" s="24"/>
      <c r="M16" s="24">
        <f>SUM(M6:M15)</f>
        <v>1137140.5</v>
      </c>
      <c r="N16" s="24">
        <f>SUM(N6:N15)</f>
        <v>1023000</v>
      </c>
      <c r="O16" s="24">
        <f>SUM(O6:O15)</f>
        <v>30000</v>
      </c>
      <c r="P16" s="69">
        <f>SUM(P6:P15)</f>
        <v>988155</v>
      </c>
      <c r="Q16" s="69"/>
    </row>
    <row r="18" spans="6:19" x14ac:dyDescent="0.25">
      <c r="F18" s="20"/>
      <c r="K18" s="20"/>
      <c r="L18" s="20"/>
      <c r="M18" s="20"/>
      <c r="N18" s="20"/>
      <c r="O18" s="20"/>
      <c r="P18" s="61" t="s">
        <v>148</v>
      </c>
      <c r="Q18" s="208">
        <f>N16*11</f>
        <v>11253000</v>
      </c>
    </row>
    <row r="19" spans="6:19" ht="39" x14ac:dyDescent="0.25">
      <c r="M19" s="20"/>
      <c r="N19" s="20"/>
      <c r="O19" s="20"/>
      <c r="P19" s="209" t="s">
        <v>261</v>
      </c>
      <c r="Q19" s="208">
        <v>990700</v>
      </c>
    </row>
    <row r="20" spans="6:19" x14ac:dyDescent="0.25">
      <c r="M20" s="20"/>
      <c r="N20" s="20"/>
      <c r="O20" s="20"/>
      <c r="P20" s="61" t="s">
        <v>158</v>
      </c>
      <c r="Q20" s="208">
        <f>50000*11</f>
        <v>550000</v>
      </c>
      <c r="S20" s="2"/>
    </row>
    <row r="21" spans="6:19" x14ac:dyDescent="0.25">
      <c r="O21" s="20"/>
      <c r="P21" s="20"/>
      <c r="Q21" s="20"/>
    </row>
    <row r="22" spans="6:19" ht="39" x14ac:dyDescent="0.25">
      <c r="P22" s="209" t="s">
        <v>262</v>
      </c>
      <c r="Q22" s="202">
        <f>Q18+Q19+Q20</f>
        <v>12793700</v>
      </c>
    </row>
    <row r="23" spans="6:19" x14ac:dyDescent="0.25">
      <c r="M23" s="20"/>
      <c r="N23" s="20"/>
      <c r="O23" s="20"/>
    </row>
    <row r="24" spans="6:19" ht="39" x14ac:dyDescent="0.25">
      <c r="M24" s="20"/>
      <c r="N24" s="20"/>
      <c r="O24" s="20"/>
      <c r="P24" s="209" t="s">
        <v>263</v>
      </c>
      <c r="Q24" s="2">
        <f>O16*11+20000</f>
        <v>350000</v>
      </c>
    </row>
    <row r="25" spans="6:19" x14ac:dyDescent="0.25">
      <c r="M25" s="1"/>
      <c r="N25" s="1"/>
      <c r="O25" s="1"/>
    </row>
    <row r="26" spans="6:19" ht="39" x14ac:dyDescent="0.25">
      <c r="P26" s="209" t="s">
        <v>264</v>
      </c>
      <c r="Q26" s="2">
        <f>Q22+Q24</f>
        <v>13143700</v>
      </c>
    </row>
    <row r="27" spans="6:19" x14ac:dyDescent="0.25">
      <c r="N27" s="20"/>
      <c r="O27" s="20"/>
    </row>
    <row r="29" spans="6:19" x14ac:dyDescent="0.25">
      <c r="N29" s="20"/>
      <c r="O2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H1" workbookViewId="0">
      <selection activeCell="R86" sqref="R86"/>
    </sheetView>
  </sheetViews>
  <sheetFormatPr defaultRowHeight="15" x14ac:dyDescent="0.2"/>
  <cols>
    <col min="1" max="1" width="19.28515625" style="27" customWidth="1"/>
    <col min="2" max="3" width="40.42578125" style="27" customWidth="1"/>
    <col min="4" max="4" width="22.42578125" style="27" customWidth="1"/>
    <col min="5" max="6" width="40.42578125" style="27" customWidth="1"/>
    <col min="7" max="7" width="48.28515625" style="28" customWidth="1"/>
    <col min="8" max="8" width="19.85546875" style="28" customWidth="1"/>
    <col min="9" max="9" width="16.5703125" style="40" hidden="1" customWidth="1"/>
    <col min="10" max="10" width="19.85546875" style="28" customWidth="1"/>
    <col min="11" max="11" width="12.42578125" style="29" hidden="1" customWidth="1"/>
    <col min="12" max="12" width="11" style="29" hidden="1" customWidth="1"/>
    <col min="13" max="13" width="0" style="29" hidden="1" customWidth="1"/>
    <col min="14" max="18" width="19.85546875" style="28" customWidth="1"/>
    <col min="19" max="247" width="9.140625" style="29"/>
    <col min="248" max="248" width="3.7109375" style="29" customWidth="1"/>
    <col min="249" max="249" width="12.85546875" style="29" customWidth="1"/>
    <col min="250" max="250" width="37.5703125" style="29" bestFit="1" customWidth="1"/>
    <col min="251" max="251" width="13.85546875" style="29" customWidth="1"/>
    <col min="252" max="252" width="13" style="29" customWidth="1"/>
    <col min="253" max="253" width="13.42578125" style="29" customWidth="1"/>
    <col min="254" max="254" width="11.28515625" style="29" customWidth="1"/>
    <col min="255" max="255" width="20.85546875" style="29" bestFit="1" customWidth="1"/>
    <col min="256" max="256" width="13.28515625" style="29" customWidth="1"/>
    <col min="257" max="257" width="19.7109375" style="29" customWidth="1"/>
    <col min="258" max="258" width="11.5703125" style="29" customWidth="1"/>
    <col min="259" max="259" width="23.28515625" style="29" customWidth="1"/>
    <col min="260" max="260" width="15.5703125" style="29" customWidth="1"/>
    <col min="261" max="503" width="9.140625" style="29"/>
    <col min="504" max="504" width="3.7109375" style="29" customWidth="1"/>
    <col min="505" max="505" width="12.85546875" style="29" customWidth="1"/>
    <col min="506" max="506" width="37.5703125" style="29" bestFit="1" customWidth="1"/>
    <col min="507" max="507" width="13.85546875" style="29" customWidth="1"/>
    <col min="508" max="508" width="13" style="29" customWidth="1"/>
    <col min="509" max="509" width="13.42578125" style="29" customWidth="1"/>
    <col min="510" max="510" width="11.28515625" style="29" customWidth="1"/>
    <col min="511" max="511" width="20.85546875" style="29" bestFit="1" customWidth="1"/>
    <col min="512" max="512" width="13.28515625" style="29" customWidth="1"/>
    <col min="513" max="513" width="19.7109375" style="29" customWidth="1"/>
    <col min="514" max="514" width="11.5703125" style="29" customWidth="1"/>
    <col min="515" max="515" width="23.28515625" style="29" customWidth="1"/>
    <col min="516" max="516" width="15.5703125" style="29" customWidth="1"/>
    <col min="517" max="759" width="9.140625" style="29"/>
    <col min="760" max="760" width="3.7109375" style="29" customWidth="1"/>
    <col min="761" max="761" width="12.85546875" style="29" customWidth="1"/>
    <col min="762" max="762" width="37.5703125" style="29" bestFit="1" customWidth="1"/>
    <col min="763" max="763" width="13.85546875" style="29" customWidth="1"/>
    <col min="764" max="764" width="13" style="29" customWidth="1"/>
    <col min="765" max="765" width="13.42578125" style="29" customWidth="1"/>
    <col min="766" max="766" width="11.28515625" style="29" customWidth="1"/>
    <col min="767" max="767" width="20.85546875" style="29" bestFit="1" customWidth="1"/>
    <col min="768" max="768" width="13.28515625" style="29" customWidth="1"/>
    <col min="769" max="769" width="19.7109375" style="29" customWidth="1"/>
    <col min="770" max="770" width="11.5703125" style="29" customWidth="1"/>
    <col min="771" max="771" width="23.28515625" style="29" customWidth="1"/>
    <col min="772" max="772" width="15.5703125" style="29" customWidth="1"/>
    <col min="773" max="1015" width="9.140625" style="29"/>
    <col min="1016" max="1016" width="3.7109375" style="29" customWidth="1"/>
    <col min="1017" max="1017" width="12.85546875" style="29" customWidth="1"/>
    <col min="1018" max="1018" width="37.5703125" style="29" bestFit="1" customWidth="1"/>
    <col min="1019" max="1019" width="13.85546875" style="29" customWidth="1"/>
    <col min="1020" max="1020" width="13" style="29" customWidth="1"/>
    <col min="1021" max="1021" width="13.42578125" style="29" customWidth="1"/>
    <col min="1022" max="1022" width="11.28515625" style="29" customWidth="1"/>
    <col min="1023" max="1023" width="20.85546875" style="29" bestFit="1" customWidth="1"/>
    <col min="1024" max="1024" width="13.28515625" style="29" customWidth="1"/>
    <col min="1025" max="1025" width="19.7109375" style="29" customWidth="1"/>
    <col min="1026" max="1026" width="11.5703125" style="29" customWidth="1"/>
    <col min="1027" max="1027" width="23.28515625" style="29" customWidth="1"/>
    <col min="1028" max="1028" width="15.5703125" style="29" customWidth="1"/>
    <col min="1029" max="1271" width="9.140625" style="29"/>
    <col min="1272" max="1272" width="3.7109375" style="29" customWidth="1"/>
    <col min="1273" max="1273" width="12.85546875" style="29" customWidth="1"/>
    <col min="1274" max="1274" width="37.5703125" style="29" bestFit="1" customWidth="1"/>
    <col min="1275" max="1275" width="13.85546875" style="29" customWidth="1"/>
    <col min="1276" max="1276" width="13" style="29" customWidth="1"/>
    <col min="1277" max="1277" width="13.42578125" style="29" customWidth="1"/>
    <col min="1278" max="1278" width="11.28515625" style="29" customWidth="1"/>
    <col min="1279" max="1279" width="20.85546875" style="29" bestFit="1" customWidth="1"/>
    <col min="1280" max="1280" width="13.28515625" style="29" customWidth="1"/>
    <col min="1281" max="1281" width="19.7109375" style="29" customWidth="1"/>
    <col min="1282" max="1282" width="11.5703125" style="29" customWidth="1"/>
    <col min="1283" max="1283" width="23.28515625" style="29" customWidth="1"/>
    <col min="1284" max="1284" width="15.5703125" style="29" customWidth="1"/>
    <col min="1285" max="1527" width="9.140625" style="29"/>
    <col min="1528" max="1528" width="3.7109375" style="29" customWidth="1"/>
    <col min="1529" max="1529" width="12.85546875" style="29" customWidth="1"/>
    <col min="1530" max="1530" width="37.5703125" style="29" bestFit="1" customWidth="1"/>
    <col min="1531" max="1531" width="13.85546875" style="29" customWidth="1"/>
    <col min="1532" max="1532" width="13" style="29" customWidth="1"/>
    <col min="1533" max="1533" width="13.42578125" style="29" customWidth="1"/>
    <col min="1534" max="1534" width="11.28515625" style="29" customWidth="1"/>
    <col min="1535" max="1535" width="20.85546875" style="29" bestFit="1" customWidth="1"/>
    <col min="1536" max="1536" width="13.28515625" style="29" customWidth="1"/>
    <col min="1537" max="1537" width="19.7109375" style="29" customWidth="1"/>
    <col min="1538" max="1538" width="11.5703125" style="29" customWidth="1"/>
    <col min="1539" max="1539" width="23.28515625" style="29" customWidth="1"/>
    <col min="1540" max="1540" width="15.5703125" style="29" customWidth="1"/>
    <col min="1541" max="1783" width="9.140625" style="29"/>
    <col min="1784" max="1784" width="3.7109375" style="29" customWidth="1"/>
    <col min="1785" max="1785" width="12.85546875" style="29" customWidth="1"/>
    <col min="1786" max="1786" width="37.5703125" style="29" bestFit="1" customWidth="1"/>
    <col min="1787" max="1787" width="13.85546875" style="29" customWidth="1"/>
    <col min="1788" max="1788" width="13" style="29" customWidth="1"/>
    <col min="1789" max="1789" width="13.42578125" style="29" customWidth="1"/>
    <col min="1790" max="1790" width="11.28515625" style="29" customWidth="1"/>
    <col min="1791" max="1791" width="20.85546875" style="29" bestFit="1" customWidth="1"/>
    <col min="1792" max="1792" width="13.28515625" style="29" customWidth="1"/>
    <col min="1793" max="1793" width="19.7109375" style="29" customWidth="1"/>
    <col min="1794" max="1794" width="11.5703125" style="29" customWidth="1"/>
    <col min="1795" max="1795" width="23.28515625" style="29" customWidth="1"/>
    <col min="1796" max="1796" width="15.5703125" style="29" customWidth="1"/>
    <col min="1797" max="2039" width="9.140625" style="29"/>
    <col min="2040" max="2040" width="3.7109375" style="29" customWidth="1"/>
    <col min="2041" max="2041" width="12.85546875" style="29" customWidth="1"/>
    <col min="2042" max="2042" width="37.5703125" style="29" bestFit="1" customWidth="1"/>
    <col min="2043" max="2043" width="13.85546875" style="29" customWidth="1"/>
    <col min="2044" max="2044" width="13" style="29" customWidth="1"/>
    <col min="2045" max="2045" width="13.42578125" style="29" customWidth="1"/>
    <col min="2046" max="2046" width="11.28515625" style="29" customWidth="1"/>
    <col min="2047" max="2047" width="20.85546875" style="29" bestFit="1" customWidth="1"/>
    <col min="2048" max="2048" width="13.28515625" style="29" customWidth="1"/>
    <col min="2049" max="2049" width="19.7109375" style="29" customWidth="1"/>
    <col min="2050" max="2050" width="11.5703125" style="29" customWidth="1"/>
    <col min="2051" max="2051" width="23.28515625" style="29" customWidth="1"/>
    <col min="2052" max="2052" width="15.5703125" style="29" customWidth="1"/>
    <col min="2053" max="2295" width="9.140625" style="29"/>
    <col min="2296" max="2296" width="3.7109375" style="29" customWidth="1"/>
    <col min="2297" max="2297" width="12.85546875" style="29" customWidth="1"/>
    <col min="2298" max="2298" width="37.5703125" style="29" bestFit="1" customWidth="1"/>
    <col min="2299" max="2299" width="13.85546875" style="29" customWidth="1"/>
    <col min="2300" max="2300" width="13" style="29" customWidth="1"/>
    <col min="2301" max="2301" width="13.42578125" style="29" customWidth="1"/>
    <col min="2302" max="2302" width="11.28515625" style="29" customWidth="1"/>
    <col min="2303" max="2303" width="20.85546875" style="29" bestFit="1" customWidth="1"/>
    <col min="2304" max="2304" width="13.28515625" style="29" customWidth="1"/>
    <col min="2305" max="2305" width="19.7109375" style="29" customWidth="1"/>
    <col min="2306" max="2306" width="11.5703125" style="29" customWidth="1"/>
    <col min="2307" max="2307" width="23.28515625" style="29" customWidth="1"/>
    <col min="2308" max="2308" width="15.5703125" style="29" customWidth="1"/>
    <col min="2309" max="2551" width="9.140625" style="29"/>
    <col min="2552" max="2552" width="3.7109375" style="29" customWidth="1"/>
    <col min="2553" max="2553" width="12.85546875" style="29" customWidth="1"/>
    <col min="2554" max="2554" width="37.5703125" style="29" bestFit="1" customWidth="1"/>
    <col min="2555" max="2555" width="13.85546875" style="29" customWidth="1"/>
    <col min="2556" max="2556" width="13" style="29" customWidth="1"/>
    <col min="2557" max="2557" width="13.42578125" style="29" customWidth="1"/>
    <col min="2558" max="2558" width="11.28515625" style="29" customWidth="1"/>
    <col min="2559" max="2559" width="20.85546875" style="29" bestFit="1" customWidth="1"/>
    <col min="2560" max="2560" width="13.28515625" style="29" customWidth="1"/>
    <col min="2561" max="2561" width="19.7109375" style="29" customWidth="1"/>
    <col min="2562" max="2562" width="11.5703125" style="29" customWidth="1"/>
    <col min="2563" max="2563" width="23.28515625" style="29" customWidth="1"/>
    <col min="2564" max="2564" width="15.5703125" style="29" customWidth="1"/>
    <col min="2565" max="2807" width="9.140625" style="29"/>
    <col min="2808" max="2808" width="3.7109375" style="29" customWidth="1"/>
    <col min="2809" max="2809" width="12.85546875" style="29" customWidth="1"/>
    <col min="2810" max="2810" width="37.5703125" style="29" bestFit="1" customWidth="1"/>
    <col min="2811" max="2811" width="13.85546875" style="29" customWidth="1"/>
    <col min="2812" max="2812" width="13" style="29" customWidth="1"/>
    <col min="2813" max="2813" width="13.42578125" style="29" customWidth="1"/>
    <col min="2814" max="2814" width="11.28515625" style="29" customWidth="1"/>
    <col min="2815" max="2815" width="20.85546875" style="29" bestFit="1" customWidth="1"/>
    <col min="2816" max="2816" width="13.28515625" style="29" customWidth="1"/>
    <col min="2817" max="2817" width="19.7109375" style="29" customWidth="1"/>
    <col min="2818" max="2818" width="11.5703125" style="29" customWidth="1"/>
    <col min="2819" max="2819" width="23.28515625" style="29" customWidth="1"/>
    <col min="2820" max="2820" width="15.5703125" style="29" customWidth="1"/>
    <col min="2821" max="3063" width="9.140625" style="29"/>
    <col min="3064" max="3064" width="3.7109375" style="29" customWidth="1"/>
    <col min="3065" max="3065" width="12.85546875" style="29" customWidth="1"/>
    <col min="3066" max="3066" width="37.5703125" style="29" bestFit="1" customWidth="1"/>
    <col min="3067" max="3067" width="13.85546875" style="29" customWidth="1"/>
    <col min="3068" max="3068" width="13" style="29" customWidth="1"/>
    <col min="3069" max="3069" width="13.42578125" style="29" customWidth="1"/>
    <col min="3070" max="3070" width="11.28515625" style="29" customWidth="1"/>
    <col min="3071" max="3071" width="20.85546875" style="29" bestFit="1" customWidth="1"/>
    <col min="3072" max="3072" width="13.28515625" style="29" customWidth="1"/>
    <col min="3073" max="3073" width="19.7109375" style="29" customWidth="1"/>
    <col min="3074" max="3074" width="11.5703125" style="29" customWidth="1"/>
    <col min="3075" max="3075" width="23.28515625" style="29" customWidth="1"/>
    <col min="3076" max="3076" width="15.5703125" style="29" customWidth="1"/>
    <col min="3077" max="3319" width="9.140625" style="29"/>
    <col min="3320" max="3320" width="3.7109375" style="29" customWidth="1"/>
    <col min="3321" max="3321" width="12.85546875" style="29" customWidth="1"/>
    <col min="3322" max="3322" width="37.5703125" style="29" bestFit="1" customWidth="1"/>
    <col min="3323" max="3323" width="13.85546875" style="29" customWidth="1"/>
    <col min="3324" max="3324" width="13" style="29" customWidth="1"/>
    <col min="3325" max="3325" width="13.42578125" style="29" customWidth="1"/>
    <col min="3326" max="3326" width="11.28515625" style="29" customWidth="1"/>
    <col min="3327" max="3327" width="20.85546875" style="29" bestFit="1" customWidth="1"/>
    <col min="3328" max="3328" width="13.28515625" style="29" customWidth="1"/>
    <col min="3329" max="3329" width="19.7109375" style="29" customWidth="1"/>
    <col min="3330" max="3330" width="11.5703125" style="29" customWidth="1"/>
    <col min="3331" max="3331" width="23.28515625" style="29" customWidth="1"/>
    <col min="3332" max="3332" width="15.5703125" style="29" customWidth="1"/>
    <col min="3333" max="3575" width="9.140625" style="29"/>
    <col min="3576" max="3576" width="3.7109375" style="29" customWidth="1"/>
    <col min="3577" max="3577" width="12.85546875" style="29" customWidth="1"/>
    <col min="3578" max="3578" width="37.5703125" style="29" bestFit="1" customWidth="1"/>
    <col min="3579" max="3579" width="13.85546875" style="29" customWidth="1"/>
    <col min="3580" max="3580" width="13" style="29" customWidth="1"/>
    <col min="3581" max="3581" width="13.42578125" style="29" customWidth="1"/>
    <col min="3582" max="3582" width="11.28515625" style="29" customWidth="1"/>
    <col min="3583" max="3583" width="20.85546875" style="29" bestFit="1" customWidth="1"/>
    <col min="3584" max="3584" width="13.28515625" style="29" customWidth="1"/>
    <col min="3585" max="3585" width="19.7109375" style="29" customWidth="1"/>
    <col min="3586" max="3586" width="11.5703125" style="29" customWidth="1"/>
    <col min="3587" max="3587" width="23.28515625" style="29" customWidth="1"/>
    <col min="3588" max="3588" width="15.5703125" style="29" customWidth="1"/>
    <col min="3589" max="3831" width="9.140625" style="29"/>
    <col min="3832" max="3832" width="3.7109375" style="29" customWidth="1"/>
    <col min="3833" max="3833" width="12.85546875" style="29" customWidth="1"/>
    <col min="3834" max="3834" width="37.5703125" style="29" bestFit="1" customWidth="1"/>
    <col min="3835" max="3835" width="13.85546875" style="29" customWidth="1"/>
    <col min="3836" max="3836" width="13" style="29" customWidth="1"/>
    <col min="3837" max="3837" width="13.42578125" style="29" customWidth="1"/>
    <col min="3838" max="3838" width="11.28515625" style="29" customWidth="1"/>
    <col min="3839" max="3839" width="20.85546875" style="29" bestFit="1" customWidth="1"/>
    <col min="3840" max="3840" width="13.28515625" style="29" customWidth="1"/>
    <col min="3841" max="3841" width="19.7109375" style="29" customWidth="1"/>
    <col min="3842" max="3842" width="11.5703125" style="29" customWidth="1"/>
    <col min="3843" max="3843" width="23.28515625" style="29" customWidth="1"/>
    <col min="3844" max="3844" width="15.5703125" style="29" customWidth="1"/>
    <col min="3845" max="4087" width="9.140625" style="29"/>
    <col min="4088" max="4088" width="3.7109375" style="29" customWidth="1"/>
    <col min="4089" max="4089" width="12.85546875" style="29" customWidth="1"/>
    <col min="4090" max="4090" width="37.5703125" style="29" bestFit="1" customWidth="1"/>
    <col min="4091" max="4091" width="13.85546875" style="29" customWidth="1"/>
    <col min="4092" max="4092" width="13" style="29" customWidth="1"/>
    <col min="4093" max="4093" width="13.42578125" style="29" customWidth="1"/>
    <col min="4094" max="4094" width="11.28515625" style="29" customWidth="1"/>
    <col min="4095" max="4095" width="20.85546875" style="29" bestFit="1" customWidth="1"/>
    <col min="4096" max="4096" width="13.28515625" style="29" customWidth="1"/>
    <col min="4097" max="4097" width="19.7109375" style="29" customWidth="1"/>
    <col min="4098" max="4098" width="11.5703125" style="29" customWidth="1"/>
    <col min="4099" max="4099" width="23.28515625" style="29" customWidth="1"/>
    <col min="4100" max="4100" width="15.5703125" style="29" customWidth="1"/>
    <col min="4101" max="4343" width="9.140625" style="29"/>
    <col min="4344" max="4344" width="3.7109375" style="29" customWidth="1"/>
    <col min="4345" max="4345" width="12.85546875" style="29" customWidth="1"/>
    <col min="4346" max="4346" width="37.5703125" style="29" bestFit="1" customWidth="1"/>
    <col min="4347" max="4347" width="13.85546875" style="29" customWidth="1"/>
    <col min="4348" max="4348" width="13" style="29" customWidth="1"/>
    <col min="4349" max="4349" width="13.42578125" style="29" customWidth="1"/>
    <col min="4350" max="4350" width="11.28515625" style="29" customWidth="1"/>
    <col min="4351" max="4351" width="20.85546875" style="29" bestFit="1" customWidth="1"/>
    <col min="4352" max="4352" width="13.28515625" style="29" customWidth="1"/>
    <col min="4353" max="4353" width="19.7109375" style="29" customWidth="1"/>
    <col min="4354" max="4354" width="11.5703125" style="29" customWidth="1"/>
    <col min="4355" max="4355" width="23.28515625" style="29" customWidth="1"/>
    <col min="4356" max="4356" width="15.5703125" style="29" customWidth="1"/>
    <col min="4357" max="4599" width="9.140625" style="29"/>
    <col min="4600" max="4600" width="3.7109375" style="29" customWidth="1"/>
    <col min="4601" max="4601" width="12.85546875" style="29" customWidth="1"/>
    <col min="4602" max="4602" width="37.5703125" style="29" bestFit="1" customWidth="1"/>
    <col min="4603" max="4603" width="13.85546875" style="29" customWidth="1"/>
    <col min="4604" max="4604" width="13" style="29" customWidth="1"/>
    <col min="4605" max="4605" width="13.42578125" style="29" customWidth="1"/>
    <col min="4606" max="4606" width="11.28515625" style="29" customWidth="1"/>
    <col min="4607" max="4607" width="20.85546875" style="29" bestFit="1" customWidth="1"/>
    <col min="4608" max="4608" width="13.28515625" style="29" customWidth="1"/>
    <col min="4609" max="4609" width="19.7109375" style="29" customWidth="1"/>
    <col min="4610" max="4610" width="11.5703125" style="29" customWidth="1"/>
    <col min="4611" max="4611" width="23.28515625" style="29" customWidth="1"/>
    <col min="4612" max="4612" width="15.5703125" style="29" customWidth="1"/>
    <col min="4613" max="4855" width="9.140625" style="29"/>
    <col min="4856" max="4856" width="3.7109375" style="29" customWidth="1"/>
    <col min="4857" max="4857" width="12.85546875" style="29" customWidth="1"/>
    <col min="4858" max="4858" width="37.5703125" style="29" bestFit="1" customWidth="1"/>
    <col min="4859" max="4859" width="13.85546875" style="29" customWidth="1"/>
    <col min="4860" max="4860" width="13" style="29" customWidth="1"/>
    <col min="4861" max="4861" width="13.42578125" style="29" customWidth="1"/>
    <col min="4862" max="4862" width="11.28515625" style="29" customWidth="1"/>
    <col min="4863" max="4863" width="20.85546875" style="29" bestFit="1" customWidth="1"/>
    <col min="4864" max="4864" width="13.28515625" style="29" customWidth="1"/>
    <col min="4865" max="4865" width="19.7109375" style="29" customWidth="1"/>
    <col min="4866" max="4866" width="11.5703125" style="29" customWidth="1"/>
    <col min="4867" max="4867" width="23.28515625" style="29" customWidth="1"/>
    <col min="4868" max="4868" width="15.5703125" style="29" customWidth="1"/>
    <col min="4869" max="5111" width="9.140625" style="29"/>
    <col min="5112" max="5112" width="3.7109375" style="29" customWidth="1"/>
    <col min="5113" max="5113" width="12.85546875" style="29" customWidth="1"/>
    <col min="5114" max="5114" width="37.5703125" style="29" bestFit="1" customWidth="1"/>
    <col min="5115" max="5115" width="13.85546875" style="29" customWidth="1"/>
    <col min="5116" max="5116" width="13" style="29" customWidth="1"/>
    <col min="5117" max="5117" width="13.42578125" style="29" customWidth="1"/>
    <col min="5118" max="5118" width="11.28515625" style="29" customWidth="1"/>
    <col min="5119" max="5119" width="20.85546875" style="29" bestFit="1" customWidth="1"/>
    <col min="5120" max="5120" width="13.28515625" style="29" customWidth="1"/>
    <col min="5121" max="5121" width="19.7109375" style="29" customWidth="1"/>
    <col min="5122" max="5122" width="11.5703125" style="29" customWidth="1"/>
    <col min="5123" max="5123" width="23.28515625" style="29" customWidth="1"/>
    <col min="5124" max="5124" width="15.5703125" style="29" customWidth="1"/>
    <col min="5125" max="5367" width="9.140625" style="29"/>
    <col min="5368" max="5368" width="3.7109375" style="29" customWidth="1"/>
    <col min="5369" max="5369" width="12.85546875" style="29" customWidth="1"/>
    <col min="5370" max="5370" width="37.5703125" style="29" bestFit="1" customWidth="1"/>
    <col min="5371" max="5371" width="13.85546875" style="29" customWidth="1"/>
    <col min="5372" max="5372" width="13" style="29" customWidth="1"/>
    <col min="5373" max="5373" width="13.42578125" style="29" customWidth="1"/>
    <col min="5374" max="5374" width="11.28515625" style="29" customWidth="1"/>
    <col min="5375" max="5375" width="20.85546875" style="29" bestFit="1" customWidth="1"/>
    <col min="5376" max="5376" width="13.28515625" style="29" customWidth="1"/>
    <col min="5377" max="5377" width="19.7109375" style="29" customWidth="1"/>
    <col min="5378" max="5378" width="11.5703125" style="29" customWidth="1"/>
    <col min="5379" max="5379" width="23.28515625" style="29" customWidth="1"/>
    <col min="5380" max="5380" width="15.5703125" style="29" customWidth="1"/>
    <col min="5381" max="5623" width="9.140625" style="29"/>
    <col min="5624" max="5624" width="3.7109375" style="29" customWidth="1"/>
    <col min="5625" max="5625" width="12.85546875" style="29" customWidth="1"/>
    <col min="5626" max="5626" width="37.5703125" style="29" bestFit="1" customWidth="1"/>
    <col min="5627" max="5627" width="13.85546875" style="29" customWidth="1"/>
    <col min="5628" max="5628" width="13" style="29" customWidth="1"/>
    <col min="5629" max="5629" width="13.42578125" style="29" customWidth="1"/>
    <col min="5630" max="5630" width="11.28515625" style="29" customWidth="1"/>
    <col min="5631" max="5631" width="20.85546875" style="29" bestFit="1" customWidth="1"/>
    <col min="5632" max="5632" width="13.28515625" style="29" customWidth="1"/>
    <col min="5633" max="5633" width="19.7109375" style="29" customWidth="1"/>
    <col min="5634" max="5634" width="11.5703125" style="29" customWidth="1"/>
    <col min="5635" max="5635" width="23.28515625" style="29" customWidth="1"/>
    <col min="5636" max="5636" width="15.5703125" style="29" customWidth="1"/>
    <col min="5637" max="5879" width="9.140625" style="29"/>
    <col min="5880" max="5880" width="3.7109375" style="29" customWidth="1"/>
    <col min="5881" max="5881" width="12.85546875" style="29" customWidth="1"/>
    <col min="5882" max="5882" width="37.5703125" style="29" bestFit="1" customWidth="1"/>
    <col min="5883" max="5883" width="13.85546875" style="29" customWidth="1"/>
    <col min="5884" max="5884" width="13" style="29" customWidth="1"/>
    <col min="5885" max="5885" width="13.42578125" style="29" customWidth="1"/>
    <col min="5886" max="5886" width="11.28515625" style="29" customWidth="1"/>
    <col min="5887" max="5887" width="20.85546875" style="29" bestFit="1" customWidth="1"/>
    <col min="5888" max="5888" width="13.28515625" style="29" customWidth="1"/>
    <col min="5889" max="5889" width="19.7109375" style="29" customWidth="1"/>
    <col min="5890" max="5890" width="11.5703125" style="29" customWidth="1"/>
    <col min="5891" max="5891" width="23.28515625" style="29" customWidth="1"/>
    <col min="5892" max="5892" width="15.5703125" style="29" customWidth="1"/>
    <col min="5893" max="6135" width="9.140625" style="29"/>
    <col min="6136" max="6136" width="3.7109375" style="29" customWidth="1"/>
    <col min="6137" max="6137" width="12.85546875" style="29" customWidth="1"/>
    <col min="6138" max="6138" width="37.5703125" style="29" bestFit="1" customWidth="1"/>
    <col min="6139" max="6139" width="13.85546875" style="29" customWidth="1"/>
    <col min="6140" max="6140" width="13" style="29" customWidth="1"/>
    <col min="6141" max="6141" width="13.42578125" style="29" customWidth="1"/>
    <col min="6142" max="6142" width="11.28515625" style="29" customWidth="1"/>
    <col min="6143" max="6143" width="20.85546875" style="29" bestFit="1" customWidth="1"/>
    <col min="6144" max="6144" width="13.28515625" style="29" customWidth="1"/>
    <col min="6145" max="6145" width="19.7109375" style="29" customWidth="1"/>
    <col min="6146" max="6146" width="11.5703125" style="29" customWidth="1"/>
    <col min="6147" max="6147" width="23.28515625" style="29" customWidth="1"/>
    <col min="6148" max="6148" width="15.5703125" style="29" customWidth="1"/>
    <col min="6149" max="6391" width="9.140625" style="29"/>
    <col min="6392" max="6392" width="3.7109375" style="29" customWidth="1"/>
    <col min="6393" max="6393" width="12.85546875" style="29" customWidth="1"/>
    <col min="6394" max="6394" width="37.5703125" style="29" bestFit="1" customWidth="1"/>
    <col min="6395" max="6395" width="13.85546875" style="29" customWidth="1"/>
    <col min="6396" max="6396" width="13" style="29" customWidth="1"/>
    <col min="6397" max="6397" width="13.42578125" style="29" customWidth="1"/>
    <col min="6398" max="6398" width="11.28515625" style="29" customWidth="1"/>
    <col min="6399" max="6399" width="20.85546875" style="29" bestFit="1" customWidth="1"/>
    <col min="6400" max="6400" width="13.28515625" style="29" customWidth="1"/>
    <col min="6401" max="6401" width="19.7109375" style="29" customWidth="1"/>
    <col min="6402" max="6402" width="11.5703125" style="29" customWidth="1"/>
    <col min="6403" max="6403" width="23.28515625" style="29" customWidth="1"/>
    <col min="6404" max="6404" width="15.5703125" style="29" customWidth="1"/>
    <col min="6405" max="6647" width="9.140625" style="29"/>
    <col min="6648" max="6648" width="3.7109375" style="29" customWidth="1"/>
    <col min="6649" max="6649" width="12.85546875" style="29" customWidth="1"/>
    <col min="6650" max="6650" width="37.5703125" style="29" bestFit="1" customWidth="1"/>
    <col min="6651" max="6651" width="13.85546875" style="29" customWidth="1"/>
    <col min="6652" max="6652" width="13" style="29" customWidth="1"/>
    <col min="6653" max="6653" width="13.42578125" style="29" customWidth="1"/>
    <col min="6654" max="6654" width="11.28515625" style="29" customWidth="1"/>
    <col min="6655" max="6655" width="20.85546875" style="29" bestFit="1" customWidth="1"/>
    <col min="6656" max="6656" width="13.28515625" style="29" customWidth="1"/>
    <col min="6657" max="6657" width="19.7109375" style="29" customWidth="1"/>
    <col min="6658" max="6658" width="11.5703125" style="29" customWidth="1"/>
    <col min="6659" max="6659" width="23.28515625" style="29" customWidth="1"/>
    <col min="6660" max="6660" width="15.5703125" style="29" customWidth="1"/>
    <col min="6661" max="6903" width="9.140625" style="29"/>
    <col min="6904" max="6904" width="3.7109375" style="29" customWidth="1"/>
    <col min="6905" max="6905" width="12.85546875" style="29" customWidth="1"/>
    <col min="6906" max="6906" width="37.5703125" style="29" bestFit="1" customWidth="1"/>
    <col min="6907" max="6907" width="13.85546875" style="29" customWidth="1"/>
    <col min="6908" max="6908" width="13" style="29" customWidth="1"/>
    <col min="6909" max="6909" width="13.42578125" style="29" customWidth="1"/>
    <col min="6910" max="6910" width="11.28515625" style="29" customWidth="1"/>
    <col min="6911" max="6911" width="20.85546875" style="29" bestFit="1" customWidth="1"/>
    <col min="6912" max="6912" width="13.28515625" style="29" customWidth="1"/>
    <col min="6913" max="6913" width="19.7109375" style="29" customWidth="1"/>
    <col min="6914" max="6914" width="11.5703125" style="29" customWidth="1"/>
    <col min="6915" max="6915" width="23.28515625" style="29" customWidth="1"/>
    <col min="6916" max="6916" width="15.5703125" style="29" customWidth="1"/>
    <col min="6917" max="7159" width="9.140625" style="29"/>
    <col min="7160" max="7160" width="3.7109375" style="29" customWidth="1"/>
    <col min="7161" max="7161" width="12.85546875" style="29" customWidth="1"/>
    <col min="7162" max="7162" width="37.5703125" style="29" bestFit="1" customWidth="1"/>
    <col min="7163" max="7163" width="13.85546875" style="29" customWidth="1"/>
    <col min="7164" max="7164" width="13" style="29" customWidth="1"/>
    <col min="7165" max="7165" width="13.42578125" style="29" customWidth="1"/>
    <col min="7166" max="7166" width="11.28515625" style="29" customWidth="1"/>
    <col min="7167" max="7167" width="20.85546875" style="29" bestFit="1" customWidth="1"/>
    <col min="7168" max="7168" width="13.28515625" style="29" customWidth="1"/>
    <col min="7169" max="7169" width="19.7109375" style="29" customWidth="1"/>
    <col min="7170" max="7170" width="11.5703125" style="29" customWidth="1"/>
    <col min="7171" max="7171" width="23.28515625" style="29" customWidth="1"/>
    <col min="7172" max="7172" width="15.5703125" style="29" customWidth="1"/>
    <col min="7173" max="7415" width="9.140625" style="29"/>
    <col min="7416" max="7416" width="3.7109375" style="29" customWidth="1"/>
    <col min="7417" max="7417" width="12.85546875" style="29" customWidth="1"/>
    <col min="7418" max="7418" width="37.5703125" style="29" bestFit="1" customWidth="1"/>
    <col min="7419" max="7419" width="13.85546875" style="29" customWidth="1"/>
    <col min="7420" max="7420" width="13" style="29" customWidth="1"/>
    <col min="7421" max="7421" width="13.42578125" style="29" customWidth="1"/>
    <col min="7422" max="7422" width="11.28515625" style="29" customWidth="1"/>
    <col min="7423" max="7423" width="20.85546875" style="29" bestFit="1" customWidth="1"/>
    <col min="7424" max="7424" width="13.28515625" style="29" customWidth="1"/>
    <col min="7425" max="7425" width="19.7109375" style="29" customWidth="1"/>
    <col min="7426" max="7426" width="11.5703125" style="29" customWidth="1"/>
    <col min="7427" max="7427" width="23.28515625" style="29" customWidth="1"/>
    <col min="7428" max="7428" width="15.5703125" style="29" customWidth="1"/>
    <col min="7429" max="7671" width="9.140625" style="29"/>
    <col min="7672" max="7672" width="3.7109375" style="29" customWidth="1"/>
    <col min="7673" max="7673" width="12.85546875" style="29" customWidth="1"/>
    <col min="7674" max="7674" width="37.5703125" style="29" bestFit="1" customWidth="1"/>
    <col min="7675" max="7675" width="13.85546875" style="29" customWidth="1"/>
    <col min="7676" max="7676" width="13" style="29" customWidth="1"/>
    <col min="7677" max="7677" width="13.42578125" style="29" customWidth="1"/>
    <col min="7678" max="7678" width="11.28515625" style="29" customWidth="1"/>
    <col min="7679" max="7679" width="20.85546875" style="29" bestFit="1" customWidth="1"/>
    <col min="7680" max="7680" width="13.28515625" style="29" customWidth="1"/>
    <col min="7681" max="7681" width="19.7109375" style="29" customWidth="1"/>
    <col min="7682" max="7682" width="11.5703125" style="29" customWidth="1"/>
    <col min="7683" max="7683" width="23.28515625" style="29" customWidth="1"/>
    <col min="7684" max="7684" width="15.5703125" style="29" customWidth="1"/>
    <col min="7685" max="7927" width="9.140625" style="29"/>
    <col min="7928" max="7928" width="3.7109375" style="29" customWidth="1"/>
    <col min="7929" max="7929" width="12.85546875" style="29" customWidth="1"/>
    <col min="7930" max="7930" width="37.5703125" style="29" bestFit="1" customWidth="1"/>
    <col min="7931" max="7931" width="13.85546875" style="29" customWidth="1"/>
    <col min="7932" max="7932" width="13" style="29" customWidth="1"/>
    <col min="7933" max="7933" width="13.42578125" style="29" customWidth="1"/>
    <col min="7934" max="7934" width="11.28515625" style="29" customWidth="1"/>
    <col min="7935" max="7935" width="20.85546875" style="29" bestFit="1" customWidth="1"/>
    <col min="7936" max="7936" width="13.28515625" style="29" customWidth="1"/>
    <col min="7937" max="7937" width="19.7109375" style="29" customWidth="1"/>
    <col min="7938" max="7938" width="11.5703125" style="29" customWidth="1"/>
    <col min="7939" max="7939" width="23.28515625" style="29" customWidth="1"/>
    <col min="7940" max="7940" width="15.5703125" style="29" customWidth="1"/>
    <col min="7941" max="8183" width="9.140625" style="29"/>
    <col min="8184" max="8184" width="3.7109375" style="29" customWidth="1"/>
    <col min="8185" max="8185" width="12.85546875" style="29" customWidth="1"/>
    <col min="8186" max="8186" width="37.5703125" style="29" bestFit="1" customWidth="1"/>
    <col min="8187" max="8187" width="13.85546875" style="29" customWidth="1"/>
    <col min="8188" max="8188" width="13" style="29" customWidth="1"/>
    <col min="8189" max="8189" width="13.42578125" style="29" customWidth="1"/>
    <col min="8190" max="8190" width="11.28515625" style="29" customWidth="1"/>
    <col min="8191" max="8191" width="20.85546875" style="29" bestFit="1" customWidth="1"/>
    <col min="8192" max="8192" width="13.28515625" style="29" customWidth="1"/>
    <col min="8193" max="8193" width="19.7109375" style="29" customWidth="1"/>
    <col min="8194" max="8194" width="11.5703125" style="29" customWidth="1"/>
    <col min="8195" max="8195" width="23.28515625" style="29" customWidth="1"/>
    <col min="8196" max="8196" width="15.5703125" style="29" customWidth="1"/>
    <col min="8197" max="8439" width="9.140625" style="29"/>
    <col min="8440" max="8440" width="3.7109375" style="29" customWidth="1"/>
    <col min="8441" max="8441" width="12.85546875" style="29" customWidth="1"/>
    <col min="8442" max="8442" width="37.5703125" style="29" bestFit="1" customWidth="1"/>
    <col min="8443" max="8443" width="13.85546875" style="29" customWidth="1"/>
    <col min="8444" max="8444" width="13" style="29" customWidth="1"/>
    <col min="8445" max="8445" width="13.42578125" style="29" customWidth="1"/>
    <col min="8446" max="8446" width="11.28515625" style="29" customWidth="1"/>
    <col min="8447" max="8447" width="20.85546875" style="29" bestFit="1" customWidth="1"/>
    <col min="8448" max="8448" width="13.28515625" style="29" customWidth="1"/>
    <col min="8449" max="8449" width="19.7109375" style="29" customWidth="1"/>
    <col min="8450" max="8450" width="11.5703125" style="29" customWidth="1"/>
    <col min="8451" max="8451" width="23.28515625" style="29" customWidth="1"/>
    <col min="8452" max="8452" width="15.5703125" style="29" customWidth="1"/>
    <col min="8453" max="8695" width="9.140625" style="29"/>
    <col min="8696" max="8696" width="3.7109375" style="29" customWidth="1"/>
    <col min="8697" max="8697" width="12.85546875" style="29" customWidth="1"/>
    <col min="8698" max="8698" width="37.5703125" style="29" bestFit="1" customWidth="1"/>
    <col min="8699" max="8699" width="13.85546875" style="29" customWidth="1"/>
    <col min="8700" max="8700" width="13" style="29" customWidth="1"/>
    <col min="8701" max="8701" width="13.42578125" style="29" customWidth="1"/>
    <col min="8702" max="8702" width="11.28515625" style="29" customWidth="1"/>
    <col min="8703" max="8703" width="20.85546875" style="29" bestFit="1" customWidth="1"/>
    <col min="8704" max="8704" width="13.28515625" style="29" customWidth="1"/>
    <col min="8705" max="8705" width="19.7109375" style="29" customWidth="1"/>
    <col min="8706" max="8706" width="11.5703125" style="29" customWidth="1"/>
    <col min="8707" max="8707" width="23.28515625" style="29" customWidth="1"/>
    <col min="8708" max="8708" width="15.5703125" style="29" customWidth="1"/>
    <col min="8709" max="8951" width="9.140625" style="29"/>
    <col min="8952" max="8952" width="3.7109375" style="29" customWidth="1"/>
    <col min="8953" max="8953" width="12.85546875" style="29" customWidth="1"/>
    <col min="8954" max="8954" width="37.5703125" style="29" bestFit="1" customWidth="1"/>
    <col min="8955" max="8955" width="13.85546875" style="29" customWidth="1"/>
    <col min="8956" max="8956" width="13" style="29" customWidth="1"/>
    <col min="8957" max="8957" width="13.42578125" style="29" customWidth="1"/>
    <col min="8958" max="8958" width="11.28515625" style="29" customWidth="1"/>
    <col min="8959" max="8959" width="20.85546875" style="29" bestFit="1" customWidth="1"/>
    <col min="8960" max="8960" width="13.28515625" style="29" customWidth="1"/>
    <col min="8961" max="8961" width="19.7109375" style="29" customWidth="1"/>
    <col min="8962" max="8962" width="11.5703125" style="29" customWidth="1"/>
    <col min="8963" max="8963" width="23.28515625" style="29" customWidth="1"/>
    <col min="8964" max="8964" width="15.5703125" style="29" customWidth="1"/>
    <col min="8965" max="9207" width="9.140625" style="29"/>
    <col min="9208" max="9208" width="3.7109375" style="29" customWidth="1"/>
    <col min="9209" max="9209" width="12.85546875" style="29" customWidth="1"/>
    <col min="9210" max="9210" width="37.5703125" style="29" bestFit="1" customWidth="1"/>
    <col min="9211" max="9211" width="13.85546875" style="29" customWidth="1"/>
    <col min="9212" max="9212" width="13" style="29" customWidth="1"/>
    <col min="9213" max="9213" width="13.42578125" style="29" customWidth="1"/>
    <col min="9214" max="9214" width="11.28515625" style="29" customWidth="1"/>
    <col min="9215" max="9215" width="20.85546875" style="29" bestFit="1" customWidth="1"/>
    <col min="9216" max="9216" width="13.28515625" style="29" customWidth="1"/>
    <col min="9217" max="9217" width="19.7109375" style="29" customWidth="1"/>
    <col min="9218" max="9218" width="11.5703125" style="29" customWidth="1"/>
    <col min="9219" max="9219" width="23.28515625" style="29" customWidth="1"/>
    <col min="9220" max="9220" width="15.5703125" style="29" customWidth="1"/>
    <col min="9221" max="9463" width="9.140625" style="29"/>
    <col min="9464" max="9464" width="3.7109375" style="29" customWidth="1"/>
    <col min="9465" max="9465" width="12.85546875" style="29" customWidth="1"/>
    <col min="9466" max="9466" width="37.5703125" style="29" bestFit="1" customWidth="1"/>
    <col min="9467" max="9467" width="13.85546875" style="29" customWidth="1"/>
    <col min="9468" max="9468" width="13" style="29" customWidth="1"/>
    <col min="9469" max="9469" width="13.42578125" style="29" customWidth="1"/>
    <col min="9470" max="9470" width="11.28515625" style="29" customWidth="1"/>
    <col min="9471" max="9471" width="20.85546875" style="29" bestFit="1" customWidth="1"/>
    <col min="9472" max="9472" width="13.28515625" style="29" customWidth="1"/>
    <col min="9473" max="9473" width="19.7109375" style="29" customWidth="1"/>
    <col min="9474" max="9474" width="11.5703125" style="29" customWidth="1"/>
    <col min="9475" max="9475" width="23.28515625" style="29" customWidth="1"/>
    <col min="9476" max="9476" width="15.5703125" style="29" customWidth="1"/>
    <col min="9477" max="9719" width="9.140625" style="29"/>
    <col min="9720" max="9720" width="3.7109375" style="29" customWidth="1"/>
    <col min="9721" max="9721" width="12.85546875" style="29" customWidth="1"/>
    <col min="9722" max="9722" width="37.5703125" style="29" bestFit="1" customWidth="1"/>
    <col min="9723" max="9723" width="13.85546875" style="29" customWidth="1"/>
    <col min="9724" max="9724" width="13" style="29" customWidth="1"/>
    <col min="9725" max="9725" width="13.42578125" style="29" customWidth="1"/>
    <col min="9726" max="9726" width="11.28515625" style="29" customWidth="1"/>
    <col min="9727" max="9727" width="20.85546875" style="29" bestFit="1" customWidth="1"/>
    <col min="9728" max="9728" width="13.28515625" style="29" customWidth="1"/>
    <col min="9729" max="9729" width="19.7109375" style="29" customWidth="1"/>
    <col min="9730" max="9730" width="11.5703125" style="29" customWidth="1"/>
    <col min="9731" max="9731" width="23.28515625" style="29" customWidth="1"/>
    <col min="9732" max="9732" width="15.5703125" style="29" customWidth="1"/>
    <col min="9733" max="9975" width="9.140625" style="29"/>
    <col min="9976" max="9976" width="3.7109375" style="29" customWidth="1"/>
    <col min="9977" max="9977" width="12.85546875" style="29" customWidth="1"/>
    <col min="9978" max="9978" width="37.5703125" style="29" bestFit="1" customWidth="1"/>
    <col min="9979" max="9979" width="13.85546875" style="29" customWidth="1"/>
    <col min="9980" max="9980" width="13" style="29" customWidth="1"/>
    <col min="9981" max="9981" width="13.42578125" style="29" customWidth="1"/>
    <col min="9982" max="9982" width="11.28515625" style="29" customWidth="1"/>
    <col min="9983" max="9983" width="20.85546875" style="29" bestFit="1" customWidth="1"/>
    <col min="9984" max="9984" width="13.28515625" style="29" customWidth="1"/>
    <col min="9985" max="9985" width="19.7109375" style="29" customWidth="1"/>
    <col min="9986" max="9986" width="11.5703125" style="29" customWidth="1"/>
    <col min="9987" max="9987" width="23.28515625" style="29" customWidth="1"/>
    <col min="9988" max="9988" width="15.5703125" style="29" customWidth="1"/>
    <col min="9989" max="10231" width="9.140625" style="29"/>
    <col min="10232" max="10232" width="3.7109375" style="29" customWidth="1"/>
    <col min="10233" max="10233" width="12.85546875" style="29" customWidth="1"/>
    <col min="10234" max="10234" width="37.5703125" style="29" bestFit="1" customWidth="1"/>
    <col min="10235" max="10235" width="13.85546875" style="29" customWidth="1"/>
    <col min="10236" max="10236" width="13" style="29" customWidth="1"/>
    <col min="10237" max="10237" width="13.42578125" style="29" customWidth="1"/>
    <col min="10238" max="10238" width="11.28515625" style="29" customWidth="1"/>
    <col min="10239" max="10239" width="20.85546875" style="29" bestFit="1" customWidth="1"/>
    <col min="10240" max="10240" width="13.28515625" style="29" customWidth="1"/>
    <col min="10241" max="10241" width="19.7109375" style="29" customWidth="1"/>
    <col min="10242" max="10242" width="11.5703125" style="29" customWidth="1"/>
    <col min="10243" max="10243" width="23.28515625" style="29" customWidth="1"/>
    <col min="10244" max="10244" width="15.5703125" style="29" customWidth="1"/>
    <col min="10245" max="10487" width="9.140625" style="29"/>
    <col min="10488" max="10488" width="3.7109375" style="29" customWidth="1"/>
    <col min="10489" max="10489" width="12.85546875" style="29" customWidth="1"/>
    <col min="10490" max="10490" width="37.5703125" style="29" bestFit="1" customWidth="1"/>
    <col min="10491" max="10491" width="13.85546875" style="29" customWidth="1"/>
    <col min="10492" max="10492" width="13" style="29" customWidth="1"/>
    <col min="10493" max="10493" width="13.42578125" style="29" customWidth="1"/>
    <col min="10494" max="10494" width="11.28515625" style="29" customWidth="1"/>
    <col min="10495" max="10495" width="20.85546875" style="29" bestFit="1" customWidth="1"/>
    <col min="10496" max="10496" width="13.28515625" style="29" customWidth="1"/>
    <col min="10497" max="10497" width="19.7109375" style="29" customWidth="1"/>
    <col min="10498" max="10498" width="11.5703125" style="29" customWidth="1"/>
    <col min="10499" max="10499" width="23.28515625" style="29" customWidth="1"/>
    <col min="10500" max="10500" width="15.5703125" style="29" customWidth="1"/>
    <col min="10501" max="10743" width="9.140625" style="29"/>
    <col min="10744" max="10744" width="3.7109375" style="29" customWidth="1"/>
    <col min="10745" max="10745" width="12.85546875" style="29" customWidth="1"/>
    <col min="10746" max="10746" width="37.5703125" style="29" bestFit="1" customWidth="1"/>
    <col min="10747" max="10747" width="13.85546875" style="29" customWidth="1"/>
    <col min="10748" max="10748" width="13" style="29" customWidth="1"/>
    <col min="10749" max="10749" width="13.42578125" style="29" customWidth="1"/>
    <col min="10750" max="10750" width="11.28515625" style="29" customWidth="1"/>
    <col min="10751" max="10751" width="20.85546875" style="29" bestFit="1" customWidth="1"/>
    <col min="10752" max="10752" width="13.28515625" style="29" customWidth="1"/>
    <col min="10753" max="10753" width="19.7109375" style="29" customWidth="1"/>
    <col min="10754" max="10754" width="11.5703125" style="29" customWidth="1"/>
    <col min="10755" max="10755" width="23.28515625" style="29" customWidth="1"/>
    <col min="10756" max="10756" width="15.5703125" style="29" customWidth="1"/>
    <col min="10757" max="10999" width="9.140625" style="29"/>
    <col min="11000" max="11000" width="3.7109375" style="29" customWidth="1"/>
    <col min="11001" max="11001" width="12.85546875" style="29" customWidth="1"/>
    <col min="11002" max="11002" width="37.5703125" style="29" bestFit="1" customWidth="1"/>
    <col min="11003" max="11003" width="13.85546875" style="29" customWidth="1"/>
    <col min="11004" max="11004" width="13" style="29" customWidth="1"/>
    <col min="11005" max="11005" width="13.42578125" style="29" customWidth="1"/>
    <col min="11006" max="11006" width="11.28515625" style="29" customWidth="1"/>
    <col min="11007" max="11007" width="20.85546875" style="29" bestFit="1" customWidth="1"/>
    <col min="11008" max="11008" width="13.28515625" style="29" customWidth="1"/>
    <col min="11009" max="11009" width="19.7109375" style="29" customWidth="1"/>
    <col min="11010" max="11010" width="11.5703125" style="29" customWidth="1"/>
    <col min="11011" max="11011" width="23.28515625" style="29" customWidth="1"/>
    <col min="11012" max="11012" width="15.5703125" style="29" customWidth="1"/>
    <col min="11013" max="11255" width="9.140625" style="29"/>
    <col min="11256" max="11256" width="3.7109375" style="29" customWidth="1"/>
    <col min="11257" max="11257" width="12.85546875" style="29" customWidth="1"/>
    <col min="11258" max="11258" width="37.5703125" style="29" bestFit="1" customWidth="1"/>
    <col min="11259" max="11259" width="13.85546875" style="29" customWidth="1"/>
    <col min="11260" max="11260" width="13" style="29" customWidth="1"/>
    <col min="11261" max="11261" width="13.42578125" style="29" customWidth="1"/>
    <col min="11262" max="11262" width="11.28515625" style="29" customWidth="1"/>
    <col min="11263" max="11263" width="20.85546875" style="29" bestFit="1" customWidth="1"/>
    <col min="11264" max="11264" width="13.28515625" style="29" customWidth="1"/>
    <col min="11265" max="11265" width="19.7109375" style="29" customWidth="1"/>
    <col min="11266" max="11266" width="11.5703125" style="29" customWidth="1"/>
    <col min="11267" max="11267" width="23.28515625" style="29" customWidth="1"/>
    <col min="11268" max="11268" width="15.5703125" style="29" customWidth="1"/>
    <col min="11269" max="11511" width="9.140625" style="29"/>
    <col min="11512" max="11512" width="3.7109375" style="29" customWidth="1"/>
    <col min="11513" max="11513" width="12.85546875" style="29" customWidth="1"/>
    <col min="11514" max="11514" width="37.5703125" style="29" bestFit="1" customWidth="1"/>
    <col min="11515" max="11515" width="13.85546875" style="29" customWidth="1"/>
    <col min="11516" max="11516" width="13" style="29" customWidth="1"/>
    <col min="11517" max="11517" width="13.42578125" style="29" customWidth="1"/>
    <col min="11518" max="11518" width="11.28515625" style="29" customWidth="1"/>
    <col min="11519" max="11519" width="20.85546875" style="29" bestFit="1" customWidth="1"/>
    <col min="11520" max="11520" width="13.28515625" style="29" customWidth="1"/>
    <col min="11521" max="11521" width="19.7109375" style="29" customWidth="1"/>
    <col min="11522" max="11522" width="11.5703125" style="29" customWidth="1"/>
    <col min="11523" max="11523" width="23.28515625" style="29" customWidth="1"/>
    <col min="11524" max="11524" width="15.5703125" style="29" customWidth="1"/>
    <col min="11525" max="11767" width="9.140625" style="29"/>
    <col min="11768" max="11768" width="3.7109375" style="29" customWidth="1"/>
    <col min="11769" max="11769" width="12.85546875" style="29" customWidth="1"/>
    <col min="11770" max="11770" width="37.5703125" style="29" bestFit="1" customWidth="1"/>
    <col min="11771" max="11771" width="13.85546875" style="29" customWidth="1"/>
    <col min="11772" max="11772" width="13" style="29" customWidth="1"/>
    <col min="11773" max="11773" width="13.42578125" style="29" customWidth="1"/>
    <col min="11774" max="11774" width="11.28515625" style="29" customWidth="1"/>
    <col min="11775" max="11775" width="20.85546875" style="29" bestFit="1" customWidth="1"/>
    <col min="11776" max="11776" width="13.28515625" style="29" customWidth="1"/>
    <col min="11777" max="11777" width="19.7109375" style="29" customWidth="1"/>
    <col min="11778" max="11778" width="11.5703125" style="29" customWidth="1"/>
    <col min="11779" max="11779" width="23.28515625" style="29" customWidth="1"/>
    <col min="11780" max="11780" width="15.5703125" style="29" customWidth="1"/>
    <col min="11781" max="12023" width="9.140625" style="29"/>
    <col min="12024" max="12024" width="3.7109375" style="29" customWidth="1"/>
    <col min="12025" max="12025" width="12.85546875" style="29" customWidth="1"/>
    <col min="12026" max="12026" width="37.5703125" style="29" bestFit="1" customWidth="1"/>
    <col min="12027" max="12027" width="13.85546875" style="29" customWidth="1"/>
    <col min="12028" max="12028" width="13" style="29" customWidth="1"/>
    <col min="12029" max="12029" width="13.42578125" style="29" customWidth="1"/>
    <col min="12030" max="12030" width="11.28515625" style="29" customWidth="1"/>
    <col min="12031" max="12031" width="20.85546875" style="29" bestFit="1" customWidth="1"/>
    <col min="12032" max="12032" width="13.28515625" style="29" customWidth="1"/>
    <col min="12033" max="12033" width="19.7109375" style="29" customWidth="1"/>
    <col min="12034" max="12034" width="11.5703125" style="29" customWidth="1"/>
    <col min="12035" max="12035" width="23.28515625" style="29" customWidth="1"/>
    <col min="12036" max="12036" width="15.5703125" style="29" customWidth="1"/>
    <col min="12037" max="12279" width="9.140625" style="29"/>
    <col min="12280" max="12280" width="3.7109375" style="29" customWidth="1"/>
    <col min="12281" max="12281" width="12.85546875" style="29" customWidth="1"/>
    <col min="12282" max="12282" width="37.5703125" style="29" bestFit="1" customWidth="1"/>
    <col min="12283" max="12283" width="13.85546875" style="29" customWidth="1"/>
    <col min="12284" max="12284" width="13" style="29" customWidth="1"/>
    <col min="12285" max="12285" width="13.42578125" style="29" customWidth="1"/>
    <col min="12286" max="12286" width="11.28515625" style="29" customWidth="1"/>
    <col min="12287" max="12287" width="20.85546875" style="29" bestFit="1" customWidth="1"/>
    <col min="12288" max="12288" width="13.28515625" style="29" customWidth="1"/>
    <col min="12289" max="12289" width="19.7109375" style="29" customWidth="1"/>
    <col min="12290" max="12290" width="11.5703125" style="29" customWidth="1"/>
    <col min="12291" max="12291" width="23.28515625" style="29" customWidth="1"/>
    <col min="12292" max="12292" width="15.5703125" style="29" customWidth="1"/>
    <col min="12293" max="12535" width="9.140625" style="29"/>
    <col min="12536" max="12536" width="3.7109375" style="29" customWidth="1"/>
    <col min="12537" max="12537" width="12.85546875" style="29" customWidth="1"/>
    <col min="12538" max="12538" width="37.5703125" style="29" bestFit="1" customWidth="1"/>
    <col min="12539" max="12539" width="13.85546875" style="29" customWidth="1"/>
    <col min="12540" max="12540" width="13" style="29" customWidth="1"/>
    <col min="12541" max="12541" width="13.42578125" style="29" customWidth="1"/>
    <col min="12542" max="12542" width="11.28515625" style="29" customWidth="1"/>
    <col min="12543" max="12543" width="20.85546875" style="29" bestFit="1" customWidth="1"/>
    <col min="12544" max="12544" width="13.28515625" style="29" customWidth="1"/>
    <col min="12545" max="12545" width="19.7109375" style="29" customWidth="1"/>
    <col min="12546" max="12546" width="11.5703125" style="29" customWidth="1"/>
    <col min="12547" max="12547" width="23.28515625" style="29" customWidth="1"/>
    <col min="12548" max="12548" width="15.5703125" style="29" customWidth="1"/>
    <col min="12549" max="12791" width="9.140625" style="29"/>
    <col min="12792" max="12792" width="3.7109375" style="29" customWidth="1"/>
    <col min="12793" max="12793" width="12.85546875" style="29" customWidth="1"/>
    <col min="12794" max="12794" width="37.5703125" style="29" bestFit="1" customWidth="1"/>
    <col min="12795" max="12795" width="13.85546875" style="29" customWidth="1"/>
    <col min="12796" max="12796" width="13" style="29" customWidth="1"/>
    <col min="12797" max="12797" width="13.42578125" style="29" customWidth="1"/>
    <col min="12798" max="12798" width="11.28515625" style="29" customWidth="1"/>
    <col min="12799" max="12799" width="20.85546875" style="29" bestFit="1" customWidth="1"/>
    <col min="12800" max="12800" width="13.28515625" style="29" customWidth="1"/>
    <col min="12801" max="12801" width="19.7109375" style="29" customWidth="1"/>
    <col min="12802" max="12802" width="11.5703125" style="29" customWidth="1"/>
    <col min="12803" max="12803" width="23.28515625" style="29" customWidth="1"/>
    <col min="12804" max="12804" width="15.5703125" style="29" customWidth="1"/>
    <col min="12805" max="13047" width="9.140625" style="29"/>
    <col min="13048" max="13048" width="3.7109375" style="29" customWidth="1"/>
    <col min="13049" max="13049" width="12.85546875" style="29" customWidth="1"/>
    <col min="13050" max="13050" width="37.5703125" style="29" bestFit="1" customWidth="1"/>
    <col min="13051" max="13051" width="13.85546875" style="29" customWidth="1"/>
    <col min="13052" max="13052" width="13" style="29" customWidth="1"/>
    <col min="13053" max="13053" width="13.42578125" style="29" customWidth="1"/>
    <col min="13054" max="13054" width="11.28515625" style="29" customWidth="1"/>
    <col min="13055" max="13055" width="20.85546875" style="29" bestFit="1" customWidth="1"/>
    <col min="13056" max="13056" width="13.28515625" style="29" customWidth="1"/>
    <col min="13057" max="13057" width="19.7109375" style="29" customWidth="1"/>
    <col min="13058" max="13058" width="11.5703125" style="29" customWidth="1"/>
    <col min="13059" max="13059" width="23.28515625" style="29" customWidth="1"/>
    <col min="13060" max="13060" width="15.5703125" style="29" customWidth="1"/>
    <col min="13061" max="13303" width="9.140625" style="29"/>
    <col min="13304" max="13304" width="3.7109375" style="29" customWidth="1"/>
    <col min="13305" max="13305" width="12.85546875" style="29" customWidth="1"/>
    <col min="13306" max="13306" width="37.5703125" style="29" bestFit="1" customWidth="1"/>
    <col min="13307" max="13307" width="13.85546875" style="29" customWidth="1"/>
    <col min="13308" max="13308" width="13" style="29" customWidth="1"/>
    <col min="13309" max="13309" width="13.42578125" style="29" customWidth="1"/>
    <col min="13310" max="13310" width="11.28515625" style="29" customWidth="1"/>
    <col min="13311" max="13311" width="20.85546875" style="29" bestFit="1" customWidth="1"/>
    <col min="13312" max="13312" width="13.28515625" style="29" customWidth="1"/>
    <col min="13313" max="13313" width="19.7109375" style="29" customWidth="1"/>
    <col min="13314" max="13314" width="11.5703125" style="29" customWidth="1"/>
    <col min="13315" max="13315" width="23.28515625" style="29" customWidth="1"/>
    <col min="13316" max="13316" width="15.5703125" style="29" customWidth="1"/>
    <col min="13317" max="13559" width="9.140625" style="29"/>
    <col min="13560" max="13560" width="3.7109375" style="29" customWidth="1"/>
    <col min="13561" max="13561" width="12.85546875" style="29" customWidth="1"/>
    <col min="13562" max="13562" width="37.5703125" style="29" bestFit="1" customWidth="1"/>
    <col min="13563" max="13563" width="13.85546875" style="29" customWidth="1"/>
    <col min="13564" max="13564" width="13" style="29" customWidth="1"/>
    <col min="13565" max="13565" width="13.42578125" style="29" customWidth="1"/>
    <col min="13566" max="13566" width="11.28515625" style="29" customWidth="1"/>
    <col min="13567" max="13567" width="20.85546875" style="29" bestFit="1" customWidth="1"/>
    <col min="13568" max="13568" width="13.28515625" style="29" customWidth="1"/>
    <col min="13569" max="13569" width="19.7109375" style="29" customWidth="1"/>
    <col min="13570" max="13570" width="11.5703125" style="29" customWidth="1"/>
    <col min="13571" max="13571" width="23.28515625" style="29" customWidth="1"/>
    <col min="13572" max="13572" width="15.5703125" style="29" customWidth="1"/>
    <col min="13573" max="13815" width="9.140625" style="29"/>
    <col min="13816" max="13816" width="3.7109375" style="29" customWidth="1"/>
    <col min="13817" max="13817" width="12.85546875" style="29" customWidth="1"/>
    <col min="13818" max="13818" width="37.5703125" style="29" bestFit="1" customWidth="1"/>
    <col min="13819" max="13819" width="13.85546875" style="29" customWidth="1"/>
    <col min="13820" max="13820" width="13" style="29" customWidth="1"/>
    <col min="13821" max="13821" width="13.42578125" style="29" customWidth="1"/>
    <col min="13822" max="13822" width="11.28515625" style="29" customWidth="1"/>
    <col min="13823" max="13823" width="20.85546875" style="29" bestFit="1" customWidth="1"/>
    <col min="13824" max="13824" width="13.28515625" style="29" customWidth="1"/>
    <col min="13825" max="13825" width="19.7109375" style="29" customWidth="1"/>
    <col min="13826" max="13826" width="11.5703125" style="29" customWidth="1"/>
    <col min="13827" max="13827" width="23.28515625" style="29" customWidth="1"/>
    <col min="13828" max="13828" width="15.5703125" style="29" customWidth="1"/>
    <col min="13829" max="14071" width="9.140625" style="29"/>
    <col min="14072" max="14072" width="3.7109375" style="29" customWidth="1"/>
    <col min="14073" max="14073" width="12.85546875" style="29" customWidth="1"/>
    <col min="14074" max="14074" width="37.5703125" style="29" bestFit="1" customWidth="1"/>
    <col min="14075" max="14075" width="13.85546875" style="29" customWidth="1"/>
    <col min="14076" max="14076" width="13" style="29" customWidth="1"/>
    <col min="14077" max="14077" width="13.42578125" style="29" customWidth="1"/>
    <col min="14078" max="14078" width="11.28515625" style="29" customWidth="1"/>
    <col min="14079" max="14079" width="20.85546875" style="29" bestFit="1" customWidth="1"/>
    <col min="14080" max="14080" width="13.28515625" style="29" customWidth="1"/>
    <col min="14081" max="14081" width="19.7109375" style="29" customWidth="1"/>
    <col min="14082" max="14082" width="11.5703125" style="29" customWidth="1"/>
    <col min="14083" max="14083" width="23.28515625" style="29" customWidth="1"/>
    <col min="14084" max="14084" width="15.5703125" style="29" customWidth="1"/>
    <col min="14085" max="14327" width="9.140625" style="29"/>
    <col min="14328" max="14328" width="3.7109375" style="29" customWidth="1"/>
    <col min="14329" max="14329" width="12.85546875" style="29" customWidth="1"/>
    <col min="14330" max="14330" width="37.5703125" style="29" bestFit="1" customWidth="1"/>
    <col min="14331" max="14331" width="13.85546875" style="29" customWidth="1"/>
    <col min="14332" max="14332" width="13" style="29" customWidth="1"/>
    <col min="14333" max="14333" width="13.42578125" style="29" customWidth="1"/>
    <col min="14334" max="14334" width="11.28515625" style="29" customWidth="1"/>
    <col min="14335" max="14335" width="20.85546875" style="29" bestFit="1" customWidth="1"/>
    <col min="14336" max="14336" width="13.28515625" style="29" customWidth="1"/>
    <col min="14337" max="14337" width="19.7109375" style="29" customWidth="1"/>
    <col min="14338" max="14338" width="11.5703125" style="29" customWidth="1"/>
    <col min="14339" max="14339" width="23.28515625" style="29" customWidth="1"/>
    <col min="14340" max="14340" width="15.5703125" style="29" customWidth="1"/>
    <col min="14341" max="14583" width="9.140625" style="29"/>
    <col min="14584" max="14584" width="3.7109375" style="29" customWidth="1"/>
    <col min="14585" max="14585" width="12.85546875" style="29" customWidth="1"/>
    <col min="14586" max="14586" width="37.5703125" style="29" bestFit="1" customWidth="1"/>
    <col min="14587" max="14587" width="13.85546875" style="29" customWidth="1"/>
    <col min="14588" max="14588" width="13" style="29" customWidth="1"/>
    <col min="14589" max="14589" width="13.42578125" style="29" customWidth="1"/>
    <col min="14590" max="14590" width="11.28515625" style="29" customWidth="1"/>
    <col min="14591" max="14591" width="20.85546875" style="29" bestFit="1" customWidth="1"/>
    <col min="14592" max="14592" width="13.28515625" style="29" customWidth="1"/>
    <col min="14593" max="14593" width="19.7109375" style="29" customWidth="1"/>
    <col min="14594" max="14594" width="11.5703125" style="29" customWidth="1"/>
    <col min="14595" max="14595" width="23.28515625" style="29" customWidth="1"/>
    <col min="14596" max="14596" width="15.5703125" style="29" customWidth="1"/>
    <col min="14597" max="14839" width="9.140625" style="29"/>
    <col min="14840" max="14840" width="3.7109375" style="29" customWidth="1"/>
    <col min="14841" max="14841" width="12.85546875" style="29" customWidth="1"/>
    <col min="14842" max="14842" width="37.5703125" style="29" bestFit="1" customWidth="1"/>
    <col min="14843" max="14843" width="13.85546875" style="29" customWidth="1"/>
    <col min="14844" max="14844" width="13" style="29" customWidth="1"/>
    <col min="14845" max="14845" width="13.42578125" style="29" customWidth="1"/>
    <col min="14846" max="14846" width="11.28515625" style="29" customWidth="1"/>
    <col min="14847" max="14847" width="20.85546875" style="29" bestFit="1" customWidth="1"/>
    <col min="14848" max="14848" width="13.28515625" style="29" customWidth="1"/>
    <col min="14849" max="14849" width="19.7109375" style="29" customWidth="1"/>
    <col min="14850" max="14850" width="11.5703125" style="29" customWidth="1"/>
    <col min="14851" max="14851" width="23.28515625" style="29" customWidth="1"/>
    <col min="14852" max="14852" width="15.5703125" style="29" customWidth="1"/>
    <col min="14853" max="15095" width="9.140625" style="29"/>
    <col min="15096" max="15096" width="3.7109375" style="29" customWidth="1"/>
    <col min="15097" max="15097" width="12.85546875" style="29" customWidth="1"/>
    <col min="15098" max="15098" width="37.5703125" style="29" bestFit="1" customWidth="1"/>
    <col min="15099" max="15099" width="13.85546875" style="29" customWidth="1"/>
    <col min="15100" max="15100" width="13" style="29" customWidth="1"/>
    <col min="15101" max="15101" width="13.42578125" style="29" customWidth="1"/>
    <col min="15102" max="15102" width="11.28515625" style="29" customWidth="1"/>
    <col min="15103" max="15103" width="20.85546875" style="29" bestFit="1" customWidth="1"/>
    <col min="15104" max="15104" width="13.28515625" style="29" customWidth="1"/>
    <col min="15105" max="15105" width="19.7109375" style="29" customWidth="1"/>
    <col min="15106" max="15106" width="11.5703125" style="29" customWidth="1"/>
    <col min="15107" max="15107" width="23.28515625" style="29" customWidth="1"/>
    <col min="15108" max="15108" width="15.5703125" style="29" customWidth="1"/>
    <col min="15109" max="15351" width="9.140625" style="29"/>
    <col min="15352" max="15352" width="3.7109375" style="29" customWidth="1"/>
    <col min="15353" max="15353" width="12.85546875" style="29" customWidth="1"/>
    <col min="15354" max="15354" width="37.5703125" style="29" bestFit="1" customWidth="1"/>
    <col min="15355" max="15355" width="13.85546875" style="29" customWidth="1"/>
    <col min="15356" max="15356" width="13" style="29" customWidth="1"/>
    <col min="15357" max="15357" width="13.42578125" style="29" customWidth="1"/>
    <col min="15358" max="15358" width="11.28515625" style="29" customWidth="1"/>
    <col min="15359" max="15359" width="20.85546875" style="29" bestFit="1" customWidth="1"/>
    <col min="15360" max="15360" width="13.28515625" style="29" customWidth="1"/>
    <col min="15361" max="15361" width="19.7109375" style="29" customWidth="1"/>
    <col min="15362" max="15362" width="11.5703125" style="29" customWidth="1"/>
    <col min="15363" max="15363" width="23.28515625" style="29" customWidth="1"/>
    <col min="15364" max="15364" width="15.5703125" style="29" customWidth="1"/>
    <col min="15365" max="15607" width="9.140625" style="29"/>
    <col min="15608" max="15608" width="3.7109375" style="29" customWidth="1"/>
    <col min="15609" max="15609" width="12.85546875" style="29" customWidth="1"/>
    <col min="15610" max="15610" width="37.5703125" style="29" bestFit="1" customWidth="1"/>
    <col min="15611" max="15611" width="13.85546875" style="29" customWidth="1"/>
    <col min="15612" max="15612" width="13" style="29" customWidth="1"/>
    <col min="15613" max="15613" width="13.42578125" style="29" customWidth="1"/>
    <col min="15614" max="15614" width="11.28515625" style="29" customWidth="1"/>
    <col min="15615" max="15615" width="20.85546875" style="29" bestFit="1" customWidth="1"/>
    <col min="15616" max="15616" width="13.28515625" style="29" customWidth="1"/>
    <col min="15617" max="15617" width="19.7109375" style="29" customWidth="1"/>
    <col min="15618" max="15618" width="11.5703125" style="29" customWidth="1"/>
    <col min="15619" max="15619" width="23.28515625" style="29" customWidth="1"/>
    <col min="15620" max="15620" width="15.5703125" style="29" customWidth="1"/>
    <col min="15621" max="15863" width="9.140625" style="29"/>
    <col min="15864" max="15864" width="3.7109375" style="29" customWidth="1"/>
    <col min="15865" max="15865" width="12.85546875" style="29" customWidth="1"/>
    <col min="15866" max="15866" width="37.5703125" style="29" bestFit="1" customWidth="1"/>
    <col min="15867" max="15867" width="13.85546875" style="29" customWidth="1"/>
    <col min="15868" max="15868" width="13" style="29" customWidth="1"/>
    <col min="15869" max="15869" width="13.42578125" style="29" customWidth="1"/>
    <col min="15870" max="15870" width="11.28515625" style="29" customWidth="1"/>
    <col min="15871" max="15871" width="20.85546875" style="29" bestFit="1" customWidth="1"/>
    <col min="15872" max="15872" width="13.28515625" style="29" customWidth="1"/>
    <col min="15873" max="15873" width="19.7109375" style="29" customWidth="1"/>
    <col min="15874" max="15874" width="11.5703125" style="29" customWidth="1"/>
    <col min="15875" max="15875" width="23.28515625" style="29" customWidth="1"/>
    <col min="15876" max="15876" width="15.5703125" style="29" customWidth="1"/>
    <col min="15877" max="16119" width="9.140625" style="29"/>
    <col min="16120" max="16120" width="3.7109375" style="29" customWidth="1"/>
    <col min="16121" max="16121" width="12.85546875" style="29" customWidth="1"/>
    <col min="16122" max="16122" width="37.5703125" style="29" bestFit="1" customWidth="1"/>
    <col min="16123" max="16123" width="13.85546875" style="29" customWidth="1"/>
    <col min="16124" max="16124" width="13" style="29" customWidth="1"/>
    <col min="16125" max="16125" width="13.42578125" style="29" customWidth="1"/>
    <col min="16126" max="16126" width="11.28515625" style="29" customWidth="1"/>
    <col min="16127" max="16127" width="20.85546875" style="29" bestFit="1" customWidth="1"/>
    <col min="16128" max="16128" width="13.28515625" style="29" customWidth="1"/>
    <col min="16129" max="16129" width="19.7109375" style="29" customWidth="1"/>
    <col min="16130" max="16130" width="11.5703125" style="29" customWidth="1"/>
    <col min="16131" max="16131" width="23.28515625" style="29" customWidth="1"/>
    <col min="16132" max="16132" width="15.5703125" style="29" customWidth="1"/>
    <col min="16133" max="16384" width="9.140625" style="29"/>
  </cols>
  <sheetData>
    <row r="1" spans="1:18" ht="15.75" x14ac:dyDescent="0.2">
      <c r="A1" s="220" t="s">
        <v>169</v>
      </c>
      <c r="B1" s="221"/>
      <c r="C1" s="221"/>
      <c r="D1" s="221"/>
      <c r="E1" s="221"/>
      <c r="F1" s="221"/>
      <c r="G1" s="221"/>
      <c r="H1" s="221"/>
      <c r="I1" s="221"/>
      <c r="J1" s="29"/>
      <c r="N1" s="29"/>
      <c r="O1" s="29"/>
      <c r="P1" s="29"/>
      <c r="Q1" s="29"/>
      <c r="R1" s="29"/>
    </row>
    <row r="2" spans="1:18" x14ac:dyDescent="0.2">
      <c r="A2" s="12"/>
      <c r="B2" s="12"/>
      <c r="C2" s="12"/>
      <c r="D2" s="12"/>
      <c r="E2" s="12"/>
      <c r="F2" s="12"/>
      <c r="G2" s="46"/>
      <c r="H2" s="46"/>
      <c r="I2" s="118"/>
      <c r="J2" s="46"/>
      <c r="N2" s="46"/>
      <c r="O2" s="46">
        <v>1.05</v>
      </c>
      <c r="P2" s="46"/>
      <c r="Q2" s="46"/>
      <c r="R2" s="46"/>
    </row>
    <row r="3" spans="1:18" s="44" customFormat="1" ht="11.25" x14ac:dyDescent="0.25">
      <c r="A3" s="42" t="s">
        <v>126</v>
      </c>
      <c r="B3" s="42" t="s">
        <v>58</v>
      </c>
      <c r="C3" s="42"/>
      <c r="D3" s="42"/>
      <c r="E3" s="42"/>
      <c r="F3" s="42">
        <v>7.99</v>
      </c>
      <c r="G3" s="42" t="s">
        <v>125</v>
      </c>
      <c r="H3" s="42"/>
      <c r="I3" s="43" t="s">
        <v>159</v>
      </c>
      <c r="J3" s="42"/>
      <c r="N3" s="42"/>
      <c r="O3" s="42"/>
      <c r="P3" s="42"/>
      <c r="Q3" s="42"/>
      <c r="R3" s="42"/>
    </row>
    <row r="4" spans="1:18" ht="12.75" customHeight="1" x14ac:dyDescent="0.2">
      <c r="A4" s="222" t="s">
        <v>136</v>
      </c>
      <c r="B4" s="30" t="s">
        <v>50</v>
      </c>
      <c r="C4" s="117">
        <v>177214</v>
      </c>
      <c r="D4" s="228">
        <f>C4+C5</f>
        <v>331281</v>
      </c>
      <c r="E4" s="228">
        <f>D4*3/100-(D4*3/100)*46/100</f>
        <v>5366.7521999999999</v>
      </c>
      <c r="F4" s="228">
        <f>E4*$F$3</f>
        <v>42880.350078000003</v>
      </c>
      <c r="G4" s="223" t="s">
        <v>42</v>
      </c>
      <c r="H4" s="215">
        <v>42900</v>
      </c>
      <c r="I4" s="225">
        <v>42900</v>
      </c>
      <c r="J4" s="215">
        <f>H4/H82*100</f>
        <v>8.7030612865924173</v>
      </c>
      <c r="K4" s="45" t="e">
        <f>I4+I6+I15+I16+I23+I26+I29+I34+I38+I42+I45+#REF!+#REF!+#REF!+I70+I73+I75+I76</f>
        <v>#REF!</v>
      </c>
      <c r="L4" s="45">
        <f>I4+I6+I15+I16+I23+I26+I29+I34+I38+I42+I45+I51+I56+I65+I70+I73+I75+I76</f>
        <v>483640</v>
      </c>
      <c r="N4" s="215">
        <f>J4*J89/100</f>
        <v>7150.9428316393805</v>
      </c>
      <c r="O4" s="215">
        <f>H4+N4</f>
        <v>50050.942831639382</v>
      </c>
      <c r="P4" s="215">
        <f>O4*O2</f>
        <v>52553.489973221353</v>
      </c>
      <c r="Q4" s="215">
        <f>P4-'2019 წლის 1 მარტამდე'!D4:D5</f>
        <v>9773.4899732213526</v>
      </c>
      <c r="R4" s="215">
        <v>52550</v>
      </c>
    </row>
    <row r="5" spans="1:18" ht="12.75" customHeight="1" x14ac:dyDescent="0.2">
      <c r="A5" s="222"/>
      <c r="B5" s="30" t="s">
        <v>51</v>
      </c>
      <c r="C5" s="117">
        <v>154067</v>
      </c>
      <c r="D5" s="229"/>
      <c r="E5" s="229"/>
      <c r="F5" s="229"/>
      <c r="G5" s="224"/>
      <c r="H5" s="216"/>
      <c r="I5" s="226"/>
      <c r="J5" s="216"/>
      <c r="N5" s="216"/>
      <c r="O5" s="216"/>
      <c r="P5" s="216"/>
      <c r="Q5" s="216"/>
      <c r="R5" s="216"/>
    </row>
    <row r="6" spans="1:18" ht="12.75" customHeight="1" x14ac:dyDescent="0.2">
      <c r="A6" s="222"/>
      <c r="B6" s="30" t="s">
        <v>52</v>
      </c>
      <c r="C6" s="117">
        <v>70018</v>
      </c>
      <c r="D6" s="228">
        <f>C6+C7</f>
        <v>135248</v>
      </c>
      <c r="E6" s="228">
        <f>D6*3/100-(D6*3/100)*46/100</f>
        <v>2191.0176000000001</v>
      </c>
      <c r="F6" s="228">
        <f>E6*$F$3</f>
        <v>17506.230624</v>
      </c>
      <c r="G6" s="232" t="s">
        <v>213</v>
      </c>
      <c r="H6" s="219">
        <v>17500</v>
      </c>
      <c r="I6" s="225">
        <v>108500</v>
      </c>
      <c r="J6" s="219">
        <f>H6/H82*100</f>
        <v>3.5501998255330376</v>
      </c>
      <c r="K6" s="29" t="e">
        <f>K4*2</f>
        <v>#REF!</v>
      </c>
      <c r="L6" s="29">
        <f>L4*9</f>
        <v>4352760</v>
      </c>
      <c r="N6" s="215">
        <f>J6*J89/100</f>
        <v>2917.051271647766</v>
      </c>
      <c r="O6" s="215">
        <f>H6+N6</f>
        <v>20417.051271647768</v>
      </c>
      <c r="P6" s="215">
        <f>O6*O2</f>
        <v>21437.903835230158</v>
      </c>
      <c r="Q6" s="215">
        <f>P6-0</f>
        <v>21437.903835230158</v>
      </c>
      <c r="R6" s="215">
        <v>21450</v>
      </c>
    </row>
    <row r="7" spans="1:18" ht="12.75" customHeight="1" x14ac:dyDescent="0.2">
      <c r="A7" s="222"/>
      <c r="B7" s="30" t="s">
        <v>53</v>
      </c>
      <c r="C7" s="117">
        <v>65230</v>
      </c>
      <c r="D7" s="229"/>
      <c r="E7" s="229"/>
      <c r="F7" s="229"/>
      <c r="G7" s="233"/>
      <c r="H7" s="219"/>
      <c r="I7" s="227"/>
      <c r="J7" s="219"/>
      <c r="N7" s="216"/>
      <c r="O7" s="216"/>
      <c r="P7" s="216"/>
      <c r="Q7" s="216"/>
      <c r="R7" s="216"/>
    </row>
    <row r="8" spans="1:18" ht="12.75" customHeight="1" x14ac:dyDescent="0.2">
      <c r="A8" s="222"/>
      <c r="B8" s="30" t="s">
        <v>55</v>
      </c>
      <c r="C8" s="117">
        <v>39286</v>
      </c>
      <c r="D8" s="228">
        <f>C8+C9</f>
        <v>88338</v>
      </c>
      <c r="E8" s="228">
        <f>D8*3/100-(D8*3/100)*46/100</f>
        <v>1431.0755999999999</v>
      </c>
      <c r="F8" s="228">
        <f>E8*$F$3</f>
        <v>11434.294044</v>
      </c>
      <c r="G8" s="230" t="s">
        <v>205</v>
      </c>
      <c r="H8" s="219">
        <v>11450</v>
      </c>
      <c r="I8" s="227"/>
      <c r="J8" s="219">
        <f>H8/H82*100</f>
        <v>2.3228450287059013</v>
      </c>
      <c r="N8" s="219">
        <f>J8*J89/100</f>
        <v>1908.5849748781097</v>
      </c>
      <c r="O8" s="215">
        <f>H8+N8</f>
        <v>13358.584974878109</v>
      </c>
      <c r="P8" s="215">
        <f>O8*O2</f>
        <v>14026.514223622014</v>
      </c>
      <c r="Q8" s="215">
        <f>P8-0</f>
        <v>14026.514223622014</v>
      </c>
      <c r="R8" s="215">
        <v>14050</v>
      </c>
    </row>
    <row r="9" spans="1:18" ht="12.75" customHeight="1" x14ac:dyDescent="0.2">
      <c r="A9" s="222"/>
      <c r="B9" s="30" t="s">
        <v>56</v>
      </c>
      <c r="C9" s="117">
        <v>49052</v>
      </c>
      <c r="D9" s="229"/>
      <c r="E9" s="229"/>
      <c r="F9" s="229"/>
      <c r="G9" s="231"/>
      <c r="H9" s="219"/>
      <c r="I9" s="227"/>
      <c r="J9" s="219"/>
      <c r="N9" s="219"/>
      <c r="O9" s="216"/>
      <c r="P9" s="216"/>
      <c r="Q9" s="216"/>
      <c r="R9" s="216"/>
    </row>
    <row r="10" spans="1:18" ht="12.75" customHeight="1" x14ac:dyDescent="0.2">
      <c r="A10" s="222"/>
      <c r="B10" s="30" t="s">
        <v>54</v>
      </c>
      <c r="C10" s="117">
        <v>111903</v>
      </c>
      <c r="D10" s="228">
        <f>C10+C11+C12+C13+C14</f>
        <v>605611</v>
      </c>
      <c r="E10" s="246">
        <f>D10*3/100-(D10*3/100)*46/100</f>
        <v>9810.8982000000015</v>
      </c>
      <c r="F10" s="246">
        <f>E10*F3</f>
        <v>78389.076618000021</v>
      </c>
      <c r="G10" s="249" t="s">
        <v>160</v>
      </c>
      <c r="H10" s="212">
        <v>78400</v>
      </c>
      <c r="I10" s="227"/>
      <c r="J10" s="212">
        <f>H10/H82*100</f>
        <v>15.904895218388008</v>
      </c>
      <c r="K10" s="96" t="e">
        <f>K6+L6+L10</f>
        <v>#REF!</v>
      </c>
      <c r="L10" s="29">
        <v>243380</v>
      </c>
      <c r="N10" s="212">
        <f>J10*J89/100</f>
        <v>13068.389696981993</v>
      </c>
      <c r="O10" s="212">
        <f>H10+N10</f>
        <v>91468.389696981991</v>
      </c>
      <c r="P10" s="212">
        <f>O10*O2</f>
        <v>96041.809181831093</v>
      </c>
      <c r="Q10" s="212">
        <f>'2019-ამბულატორია'!P10:P14-108380</f>
        <v>-12338.190818168907</v>
      </c>
      <c r="R10" s="212">
        <v>96050</v>
      </c>
    </row>
    <row r="11" spans="1:18" ht="12.75" customHeight="1" x14ac:dyDescent="0.2">
      <c r="A11" s="222"/>
      <c r="B11" s="30" t="s">
        <v>57</v>
      </c>
      <c r="C11" s="117">
        <v>138493</v>
      </c>
      <c r="D11" s="234"/>
      <c r="E11" s="246"/>
      <c r="F11" s="246"/>
      <c r="G11" s="249"/>
      <c r="H11" s="217"/>
      <c r="I11" s="227"/>
      <c r="J11" s="217"/>
      <c r="N11" s="217"/>
      <c r="O11" s="217"/>
      <c r="P11" s="217"/>
      <c r="Q11" s="217"/>
      <c r="R11" s="217"/>
    </row>
    <row r="12" spans="1:18" ht="12.75" customHeight="1" x14ac:dyDescent="0.2">
      <c r="A12" s="222"/>
      <c r="B12" s="30" t="s">
        <v>166</v>
      </c>
      <c r="C12" s="117">
        <v>125610</v>
      </c>
      <c r="D12" s="234"/>
      <c r="E12" s="246"/>
      <c r="F12" s="246"/>
      <c r="G12" s="249"/>
      <c r="H12" s="217"/>
      <c r="I12" s="227"/>
      <c r="J12" s="217"/>
      <c r="N12" s="217"/>
      <c r="O12" s="217"/>
      <c r="P12" s="217"/>
      <c r="Q12" s="217"/>
      <c r="R12" s="217"/>
    </row>
    <row r="13" spans="1:18" ht="12.75" customHeight="1" x14ac:dyDescent="0.2">
      <c r="A13" s="222"/>
      <c r="B13" s="30" t="s">
        <v>165</v>
      </c>
      <c r="C13" s="117">
        <v>177844</v>
      </c>
      <c r="D13" s="234"/>
      <c r="E13" s="246"/>
      <c r="F13" s="246"/>
      <c r="G13" s="249"/>
      <c r="H13" s="217"/>
      <c r="I13" s="227"/>
      <c r="J13" s="217"/>
      <c r="N13" s="217"/>
      <c r="O13" s="217"/>
      <c r="P13" s="217"/>
      <c r="Q13" s="217"/>
      <c r="R13" s="217"/>
    </row>
    <row r="14" spans="1:18" ht="12.75" customHeight="1" x14ac:dyDescent="0.2">
      <c r="A14" s="222"/>
      <c r="B14" s="116" t="s">
        <v>80</v>
      </c>
      <c r="C14" s="117">
        <v>51761</v>
      </c>
      <c r="D14" s="229"/>
      <c r="E14" s="246"/>
      <c r="F14" s="246"/>
      <c r="G14" s="249"/>
      <c r="H14" s="218"/>
      <c r="I14" s="226"/>
      <c r="J14" s="218"/>
      <c r="N14" s="218"/>
      <c r="O14" s="218"/>
      <c r="P14" s="218"/>
      <c r="Q14" s="218"/>
      <c r="R14" s="218"/>
    </row>
    <row r="15" spans="1:18" x14ac:dyDescent="0.2">
      <c r="A15" s="222"/>
      <c r="B15" s="32" t="s">
        <v>59</v>
      </c>
      <c r="C15" s="118">
        <v>440</v>
      </c>
      <c r="D15" s="145">
        <v>440</v>
      </c>
      <c r="E15" s="118">
        <v>440</v>
      </c>
      <c r="F15" s="145">
        <f>E15*F3</f>
        <v>3515.6</v>
      </c>
      <c r="G15" s="34" t="s">
        <v>60</v>
      </c>
      <c r="H15" s="107">
        <v>4500</v>
      </c>
      <c r="I15" s="114">
        <v>1600</v>
      </c>
      <c r="J15" s="107">
        <f>H15/H82*100</f>
        <v>0.91290852656563803</v>
      </c>
      <c r="N15" s="107">
        <f>J15*J89/100</f>
        <v>750.09889842371126</v>
      </c>
      <c r="O15" s="107">
        <f>H15+N15</f>
        <v>5250.098898423711</v>
      </c>
      <c r="P15" s="107"/>
      <c r="Q15" s="107">
        <f>O15-'2019 წლის 1 მარტამდე'!D15</f>
        <v>1730.098898423711</v>
      </c>
      <c r="R15" s="107">
        <v>5250</v>
      </c>
    </row>
    <row r="16" spans="1:18" x14ac:dyDescent="0.2">
      <c r="A16" s="235" t="s">
        <v>110</v>
      </c>
      <c r="B16" s="33" t="s">
        <v>143</v>
      </c>
      <c r="C16" s="117">
        <v>125103</v>
      </c>
      <c r="D16" s="228">
        <f>C16+C17+C18+C19+C20+C21+C22</f>
        <v>423986</v>
      </c>
      <c r="E16" s="228">
        <f>D16*3/100-(D16*3/100)*46/100</f>
        <v>6868.5731999999998</v>
      </c>
      <c r="F16" s="228">
        <f>E16*F3</f>
        <v>54879.899868</v>
      </c>
      <c r="G16" s="232" t="s">
        <v>43</v>
      </c>
      <c r="H16" s="212">
        <v>54900</v>
      </c>
      <c r="I16" s="228">
        <v>54900</v>
      </c>
      <c r="J16" s="212">
        <f>H16/H82*100</f>
        <v>11.137484024100786</v>
      </c>
      <c r="N16" s="212">
        <f>J16*J89/100</f>
        <v>9151.2065607692784</v>
      </c>
      <c r="O16" s="212">
        <f>H16+N16</f>
        <v>64051.206560769278</v>
      </c>
      <c r="P16" s="212">
        <f>O16*O2</f>
        <v>67253.766888807746</v>
      </c>
      <c r="Q16" s="212">
        <f>P16-'2019 წლის 1 მარტამდე'!D16:D22</f>
        <v>12473.766888807746</v>
      </c>
      <c r="R16" s="212">
        <v>67260</v>
      </c>
    </row>
    <row r="17" spans="1:18" x14ac:dyDescent="0.2">
      <c r="A17" s="213"/>
      <c r="B17" s="33" t="s">
        <v>62</v>
      </c>
      <c r="C17" s="117">
        <v>53590</v>
      </c>
      <c r="D17" s="234"/>
      <c r="E17" s="234"/>
      <c r="F17" s="234"/>
      <c r="G17" s="236"/>
      <c r="H17" s="213"/>
      <c r="I17" s="234"/>
      <c r="J17" s="213"/>
      <c r="N17" s="213"/>
      <c r="O17" s="213"/>
      <c r="P17" s="213"/>
      <c r="Q17" s="213"/>
      <c r="R17" s="213"/>
    </row>
    <row r="18" spans="1:18" x14ac:dyDescent="0.2">
      <c r="A18" s="213"/>
      <c r="B18" s="33" t="s">
        <v>63</v>
      </c>
      <c r="C18" s="117">
        <v>81876</v>
      </c>
      <c r="D18" s="234"/>
      <c r="E18" s="234"/>
      <c r="F18" s="234"/>
      <c r="G18" s="236"/>
      <c r="H18" s="213"/>
      <c r="I18" s="234"/>
      <c r="J18" s="213"/>
      <c r="N18" s="213"/>
      <c r="O18" s="213"/>
      <c r="P18" s="213"/>
      <c r="Q18" s="213"/>
      <c r="R18" s="213"/>
    </row>
    <row r="19" spans="1:18" x14ac:dyDescent="0.2">
      <c r="A19" s="213"/>
      <c r="B19" s="33" t="s">
        <v>64</v>
      </c>
      <c r="C19" s="117">
        <v>19141</v>
      </c>
      <c r="D19" s="234"/>
      <c r="E19" s="234"/>
      <c r="F19" s="234"/>
      <c r="G19" s="236"/>
      <c r="H19" s="213"/>
      <c r="I19" s="234"/>
      <c r="J19" s="213"/>
      <c r="N19" s="213"/>
      <c r="O19" s="213"/>
      <c r="P19" s="213"/>
      <c r="Q19" s="213"/>
      <c r="R19" s="213"/>
    </row>
    <row r="20" spans="1:18" x14ac:dyDescent="0.2">
      <c r="A20" s="213"/>
      <c r="B20" s="33" t="s">
        <v>65</v>
      </c>
      <c r="C20" s="117">
        <v>21127</v>
      </c>
      <c r="D20" s="234"/>
      <c r="E20" s="234"/>
      <c r="F20" s="234"/>
      <c r="G20" s="236"/>
      <c r="H20" s="213"/>
      <c r="I20" s="234"/>
      <c r="J20" s="213"/>
      <c r="N20" s="213"/>
      <c r="O20" s="213"/>
      <c r="P20" s="213"/>
      <c r="Q20" s="213"/>
      <c r="R20" s="213"/>
    </row>
    <row r="21" spans="1:18" x14ac:dyDescent="0.2">
      <c r="A21" s="213"/>
      <c r="B21" s="33" t="s">
        <v>66</v>
      </c>
      <c r="C21" s="117">
        <v>104300</v>
      </c>
      <c r="D21" s="234"/>
      <c r="E21" s="234"/>
      <c r="F21" s="234"/>
      <c r="G21" s="236"/>
      <c r="H21" s="213"/>
      <c r="I21" s="234"/>
      <c r="J21" s="213"/>
      <c r="N21" s="213"/>
      <c r="O21" s="213"/>
      <c r="P21" s="213"/>
      <c r="Q21" s="213"/>
      <c r="R21" s="213"/>
    </row>
    <row r="22" spans="1:18" x14ac:dyDescent="0.2">
      <c r="A22" s="214"/>
      <c r="B22" s="33" t="s">
        <v>67</v>
      </c>
      <c r="C22" s="117">
        <v>18849</v>
      </c>
      <c r="D22" s="229"/>
      <c r="E22" s="229"/>
      <c r="F22" s="229"/>
      <c r="G22" s="233"/>
      <c r="H22" s="214"/>
      <c r="I22" s="229"/>
      <c r="J22" s="214"/>
      <c r="N22" s="214"/>
      <c r="O22" s="214"/>
      <c r="P22" s="214"/>
      <c r="Q22" s="214"/>
      <c r="R22" s="214"/>
    </row>
    <row r="23" spans="1:18" x14ac:dyDescent="0.2">
      <c r="A23" s="235" t="s">
        <v>111</v>
      </c>
      <c r="B23" s="33" t="s">
        <v>135</v>
      </c>
      <c r="C23" s="117">
        <v>125692</v>
      </c>
      <c r="D23" s="228">
        <f>C23+C24+C25</f>
        <v>210779</v>
      </c>
      <c r="E23" s="228">
        <f>D23*3/100-(D23*3/100)*46/100</f>
        <v>3414.6197999999995</v>
      </c>
      <c r="F23" s="228">
        <f>E23*F3</f>
        <v>27282.812201999997</v>
      </c>
      <c r="G23" s="232" t="s">
        <v>71</v>
      </c>
      <c r="H23" s="212">
        <v>27200</v>
      </c>
      <c r="I23" s="228">
        <v>27300</v>
      </c>
      <c r="J23" s="212">
        <f>H23/H82*100</f>
        <v>5.5180248716856344</v>
      </c>
      <c r="N23" s="212">
        <f>J23*J89/100</f>
        <v>4533.9311193610984</v>
      </c>
      <c r="O23" s="212">
        <f>H23+N23</f>
        <v>31733.931119361099</v>
      </c>
      <c r="P23" s="212">
        <f>O23*O2</f>
        <v>33320.627675329153</v>
      </c>
      <c r="Q23" s="212">
        <f>P23-'2019 წლის 1 მარტამდე'!D23:D25</f>
        <v>6140.6276753291531</v>
      </c>
      <c r="R23" s="212">
        <v>33330</v>
      </c>
    </row>
    <row r="24" spans="1:18" x14ac:dyDescent="0.2">
      <c r="A24" s="213"/>
      <c r="B24" s="33" t="s">
        <v>68</v>
      </c>
      <c r="C24" s="117">
        <v>43771</v>
      </c>
      <c r="D24" s="234"/>
      <c r="E24" s="234"/>
      <c r="F24" s="234"/>
      <c r="G24" s="236"/>
      <c r="H24" s="213"/>
      <c r="I24" s="234"/>
      <c r="J24" s="213"/>
      <c r="N24" s="213"/>
      <c r="O24" s="213"/>
      <c r="P24" s="213"/>
      <c r="Q24" s="213"/>
      <c r="R24" s="213"/>
    </row>
    <row r="25" spans="1:18" x14ac:dyDescent="0.2">
      <c r="A25" s="213"/>
      <c r="B25" s="33" t="s">
        <v>69</v>
      </c>
      <c r="C25" s="117">
        <v>41316</v>
      </c>
      <c r="D25" s="229"/>
      <c r="E25" s="229"/>
      <c r="F25" s="229"/>
      <c r="G25" s="233"/>
      <c r="H25" s="214"/>
      <c r="I25" s="229"/>
      <c r="J25" s="214"/>
      <c r="N25" s="214"/>
      <c r="O25" s="214"/>
      <c r="P25" s="214"/>
      <c r="Q25" s="214"/>
      <c r="R25" s="214"/>
    </row>
    <row r="26" spans="1:18" x14ac:dyDescent="0.2">
      <c r="A26" s="214"/>
      <c r="B26" s="33" t="s">
        <v>70</v>
      </c>
      <c r="C26" s="117">
        <v>52603</v>
      </c>
      <c r="D26" s="228">
        <f>C26+C27+C28</f>
        <v>87553</v>
      </c>
      <c r="E26" s="228">
        <f>D26*3/100-(D26*3/100)*46/100</f>
        <v>1418.3586</v>
      </c>
      <c r="F26" s="228">
        <f>E26*F3</f>
        <v>11332.685214000001</v>
      </c>
      <c r="G26" s="232" t="s">
        <v>78</v>
      </c>
      <c r="H26" s="212">
        <v>11400</v>
      </c>
      <c r="I26" s="228">
        <v>11300</v>
      </c>
      <c r="J26" s="212">
        <f>H26/H82*100</f>
        <v>2.3127016006329502</v>
      </c>
      <c r="N26" s="212">
        <f>J26*J89/100</f>
        <v>1900.2505426734019</v>
      </c>
      <c r="O26" s="212">
        <f>H26+N26</f>
        <v>13300.250542673402</v>
      </c>
      <c r="P26" s="212">
        <f>O26*O2</f>
        <v>13965.263069807073</v>
      </c>
      <c r="Q26" s="212">
        <f>P26-'2019 წლის 1 მარტამდე'!D26:D28</f>
        <v>2785.2630698070734</v>
      </c>
      <c r="R26" s="212">
        <v>13700</v>
      </c>
    </row>
    <row r="27" spans="1:18" x14ac:dyDescent="0.2">
      <c r="A27" s="115" t="s">
        <v>112</v>
      </c>
      <c r="B27" s="37" t="s">
        <v>144</v>
      </c>
      <c r="C27" s="117">
        <v>9736</v>
      </c>
      <c r="D27" s="234"/>
      <c r="E27" s="234"/>
      <c r="F27" s="234"/>
      <c r="G27" s="236"/>
      <c r="H27" s="213"/>
      <c r="I27" s="234"/>
      <c r="J27" s="213"/>
      <c r="K27" s="45"/>
      <c r="L27" s="45"/>
      <c r="N27" s="213"/>
      <c r="O27" s="213"/>
      <c r="P27" s="213"/>
      <c r="Q27" s="213"/>
      <c r="R27" s="213"/>
    </row>
    <row r="28" spans="1:18" ht="12.75" customHeight="1" x14ac:dyDescent="0.2">
      <c r="A28" s="222" t="s">
        <v>113</v>
      </c>
      <c r="B28" s="30" t="s">
        <v>76</v>
      </c>
      <c r="C28" s="117">
        <v>25214</v>
      </c>
      <c r="D28" s="229"/>
      <c r="E28" s="229"/>
      <c r="F28" s="229"/>
      <c r="G28" s="233"/>
      <c r="H28" s="214"/>
      <c r="I28" s="229"/>
      <c r="J28" s="214"/>
      <c r="N28" s="214"/>
      <c r="O28" s="214"/>
      <c r="P28" s="214"/>
      <c r="Q28" s="214"/>
      <c r="R28" s="214"/>
    </row>
    <row r="29" spans="1:18" ht="12.75" customHeight="1" x14ac:dyDescent="0.2">
      <c r="A29" s="222"/>
      <c r="B29" s="29" t="s">
        <v>72</v>
      </c>
      <c r="C29" s="113">
        <v>38895</v>
      </c>
      <c r="D29" s="228">
        <f>C29+C30+C31+C32+C33</f>
        <v>135290</v>
      </c>
      <c r="E29" s="228">
        <f>D29*3/100-(D29*3/100)*46/100</f>
        <v>2191.6980000000003</v>
      </c>
      <c r="F29" s="228">
        <f>E29*F3</f>
        <v>17511.667020000004</v>
      </c>
      <c r="G29" s="240" t="s">
        <v>79</v>
      </c>
      <c r="H29" s="212">
        <v>17500</v>
      </c>
      <c r="I29" s="243">
        <v>17520</v>
      </c>
      <c r="J29" s="212">
        <f>H29/H82*100</f>
        <v>3.5501998255330376</v>
      </c>
      <c r="N29" s="212">
        <f>J29*J89/100</f>
        <v>2917.051271647766</v>
      </c>
      <c r="O29" s="212">
        <f>H29+N29</f>
        <v>20417.051271647768</v>
      </c>
      <c r="P29" s="212">
        <f>O29*O2</f>
        <v>21437.903835230158</v>
      </c>
      <c r="Q29" s="212">
        <f>P29-'2019 წლის 1 მარტამდე'!D29:D33</f>
        <v>4037.9038352301577</v>
      </c>
      <c r="R29" s="212">
        <v>21500</v>
      </c>
    </row>
    <row r="30" spans="1:18" x14ac:dyDescent="0.2">
      <c r="A30" s="222"/>
      <c r="B30" s="33" t="s">
        <v>73</v>
      </c>
      <c r="C30" s="113">
        <v>16462</v>
      </c>
      <c r="D30" s="234"/>
      <c r="E30" s="234"/>
      <c r="F30" s="234"/>
      <c r="G30" s="241"/>
      <c r="H30" s="213"/>
      <c r="I30" s="244"/>
      <c r="J30" s="213"/>
      <c r="N30" s="213"/>
      <c r="O30" s="213"/>
      <c r="P30" s="213"/>
      <c r="Q30" s="213"/>
      <c r="R30" s="213"/>
    </row>
    <row r="31" spans="1:18" x14ac:dyDescent="0.2">
      <c r="A31" s="222"/>
      <c r="B31" s="33" t="s">
        <v>74</v>
      </c>
      <c r="C31" s="113">
        <v>10372</v>
      </c>
      <c r="D31" s="234"/>
      <c r="E31" s="234"/>
      <c r="F31" s="234"/>
      <c r="G31" s="241"/>
      <c r="H31" s="213"/>
      <c r="I31" s="244"/>
      <c r="J31" s="213"/>
      <c r="N31" s="213"/>
      <c r="O31" s="213"/>
      <c r="P31" s="213"/>
      <c r="Q31" s="213"/>
      <c r="R31" s="213"/>
    </row>
    <row r="32" spans="1:18" x14ac:dyDescent="0.2">
      <c r="A32" s="222"/>
      <c r="B32" s="33" t="s">
        <v>75</v>
      </c>
      <c r="C32" s="113">
        <v>45070</v>
      </c>
      <c r="D32" s="234"/>
      <c r="E32" s="234"/>
      <c r="F32" s="234"/>
      <c r="G32" s="241"/>
      <c r="H32" s="213"/>
      <c r="I32" s="244"/>
      <c r="J32" s="213"/>
      <c r="N32" s="213"/>
      <c r="O32" s="213"/>
      <c r="P32" s="213"/>
      <c r="Q32" s="213"/>
      <c r="R32" s="213"/>
    </row>
    <row r="33" spans="1:18" x14ac:dyDescent="0.2">
      <c r="A33" s="222"/>
      <c r="B33" s="33" t="s">
        <v>77</v>
      </c>
      <c r="C33" s="113">
        <v>24491</v>
      </c>
      <c r="D33" s="229"/>
      <c r="E33" s="229"/>
      <c r="F33" s="229"/>
      <c r="G33" s="242"/>
      <c r="H33" s="214"/>
      <c r="I33" s="245"/>
      <c r="J33" s="214"/>
      <c r="N33" s="214"/>
      <c r="O33" s="214"/>
      <c r="P33" s="214"/>
      <c r="Q33" s="214"/>
      <c r="R33" s="214"/>
    </row>
    <row r="34" spans="1:18" ht="12.75" customHeight="1" x14ac:dyDescent="0.2">
      <c r="A34" s="235" t="s">
        <v>114</v>
      </c>
      <c r="B34" s="30" t="s">
        <v>81</v>
      </c>
      <c r="C34" s="117">
        <f>7940+47711</f>
        <v>55651</v>
      </c>
      <c r="D34" s="228">
        <f>C34+C35+C36+C37</f>
        <v>94573</v>
      </c>
      <c r="E34" s="228">
        <f>D34*3/100-(D34*3/100)*46/100</f>
        <v>1532.0826</v>
      </c>
      <c r="F34" s="228">
        <f>E34*F3</f>
        <v>12241.339974</v>
      </c>
      <c r="G34" s="232" t="s">
        <v>85</v>
      </c>
      <c r="H34" s="212">
        <v>12200</v>
      </c>
      <c r="I34" s="237">
        <v>12240</v>
      </c>
      <c r="J34" s="212">
        <f>H34/H82*100</f>
        <v>2.4749964498001744</v>
      </c>
      <c r="N34" s="212">
        <f>J34*J89/100</f>
        <v>2033.601457948728</v>
      </c>
      <c r="O34" s="212">
        <f>H34+N34</f>
        <v>14233.601457948727</v>
      </c>
      <c r="P34" s="212">
        <f>O34*O2</f>
        <v>14945.281530846165</v>
      </c>
      <c r="Q34" s="212">
        <f>P34-'2019 წლის 1 მარტამდე'!D34:D37</f>
        <v>2825.281530846165</v>
      </c>
      <c r="R34" s="212">
        <v>15000</v>
      </c>
    </row>
    <row r="35" spans="1:18" ht="12.75" customHeight="1" x14ac:dyDescent="0.2">
      <c r="A35" s="213"/>
      <c r="B35" s="30" t="s">
        <v>82</v>
      </c>
      <c r="C35" s="117">
        <v>25659</v>
      </c>
      <c r="D35" s="234"/>
      <c r="E35" s="234"/>
      <c r="F35" s="234"/>
      <c r="G35" s="236"/>
      <c r="H35" s="213"/>
      <c r="I35" s="238"/>
      <c r="J35" s="213"/>
      <c r="N35" s="213"/>
      <c r="O35" s="213"/>
      <c r="P35" s="213"/>
      <c r="Q35" s="213"/>
      <c r="R35" s="213"/>
    </row>
    <row r="36" spans="1:18" ht="12.75" customHeight="1" x14ac:dyDescent="0.2">
      <c r="A36" s="213"/>
      <c r="B36" s="30" t="s">
        <v>83</v>
      </c>
      <c r="C36" s="117">
        <v>9468</v>
      </c>
      <c r="D36" s="234"/>
      <c r="E36" s="234"/>
      <c r="F36" s="234"/>
      <c r="G36" s="236"/>
      <c r="H36" s="213"/>
      <c r="I36" s="238"/>
      <c r="J36" s="213"/>
      <c r="N36" s="213"/>
      <c r="O36" s="213"/>
      <c r="P36" s="213"/>
      <c r="Q36" s="213"/>
      <c r="R36" s="213"/>
    </row>
    <row r="37" spans="1:18" ht="12.75" customHeight="1" x14ac:dyDescent="0.2">
      <c r="A37" s="214"/>
      <c r="B37" s="30" t="s">
        <v>84</v>
      </c>
      <c r="C37" s="117">
        <v>3795</v>
      </c>
      <c r="D37" s="229"/>
      <c r="E37" s="229"/>
      <c r="F37" s="229"/>
      <c r="G37" s="233"/>
      <c r="H37" s="214"/>
      <c r="I37" s="239"/>
      <c r="J37" s="214"/>
      <c r="N37" s="214"/>
      <c r="O37" s="214"/>
      <c r="P37" s="214"/>
      <c r="Q37" s="214"/>
      <c r="R37" s="214"/>
    </row>
    <row r="38" spans="1:18" ht="12.75" customHeight="1" x14ac:dyDescent="0.2">
      <c r="A38" s="235" t="s">
        <v>109</v>
      </c>
      <c r="B38" s="30" t="s">
        <v>86</v>
      </c>
      <c r="C38" s="117">
        <v>58350</v>
      </c>
      <c r="D38" s="228">
        <f>C38+C39+C40+C41</f>
        <v>173975</v>
      </c>
      <c r="E38" s="228">
        <f>D38*3/100-(D38*3/100)*46/100</f>
        <v>2818.395</v>
      </c>
      <c r="F38" s="228">
        <f>E38*F3</f>
        <v>22518.976050000001</v>
      </c>
      <c r="G38" s="232" t="s">
        <v>93</v>
      </c>
      <c r="H38" s="212">
        <v>22500</v>
      </c>
      <c r="I38" s="237">
        <v>22520</v>
      </c>
      <c r="J38" s="212">
        <f>H38/H82*100</f>
        <v>4.5645426328281902</v>
      </c>
      <c r="N38" s="212">
        <f>J38*J89/100</f>
        <v>3750.4944921185561</v>
      </c>
      <c r="O38" s="212">
        <f>H38+N38</f>
        <v>26250.494492118556</v>
      </c>
      <c r="P38" s="212">
        <f>O38*O2</f>
        <v>27563.019216724486</v>
      </c>
      <c r="Q38" s="212">
        <f>P38-'2019 წლის 1 მარტამდე'!D38:D41</f>
        <v>5163.0192167244859</v>
      </c>
      <c r="R38" s="212">
        <v>27600</v>
      </c>
    </row>
    <row r="39" spans="1:18" ht="12.75" customHeight="1" x14ac:dyDescent="0.2">
      <c r="A39" s="213"/>
      <c r="B39" s="30" t="s">
        <v>87</v>
      </c>
      <c r="C39" s="117">
        <v>31461</v>
      </c>
      <c r="D39" s="234"/>
      <c r="E39" s="234"/>
      <c r="F39" s="234"/>
      <c r="G39" s="236"/>
      <c r="H39" s="213"/>
      <c r="I39" s="238"/>
      <c r="J39" s="213"/>
      <c r="N39" s="213"/>
      <c r="O39" s="213"/>
      <c r="P39" s="213"/>
      <c r="Q39" s="213"/>
      <c r="R39" s="213"/>
    </row>
    <row r="40" spans="1:18" ht="12.75" customHeight="1" x14ac:dyDescent="0.2">
      <c r="A40" s="213"/>
      <c r="B40" s="30" t="s">
        <v>88</v>
      </c>
      <c r="C40" s="117">
        <v>54337</v>
      </c>
      <c r="D40" s="234"/>
      <c r="E40" s="234"/>
      <c r="F40" s="234"/>
      <c r="G40" s="236"/>
      <c r="H40" s="213"/>
      <c r="I40" s="238"/>
      <c r="J40" s="213"/>
      <c r="N40" s="213"/>
      <c r="O40" s="213"/>
      <c r="P40" s="213"/>
      <c r="Q40" s="213"/>
      <c r="R40" s="213"/>
    </row>
    <row r="41" spans="1:18" ht="12.75" customHeight="1" x14ac:dyDescent="0.2">
      <c r="A41" s="213"/>
      <c r="B41" s="30" t="s">
        <v>89</v>
      </c>
      <c r="C41" s="117">
        <v>29827</v>
      </c>
      <c r="D41" s="229"/>
      <c r="E41" s="229"/>
      <c r="F41" s="229"/>
      <c r="G41" s="233"/>
      <c r="H41" s="214"/>
      <c r="I41" s="239"/>
      <c r="J41" s="214"/>
      <c r="N41" s="214"/>
      <c r="O41" s="214"/>
      <c r="P41" s="214"/>
      <c r="Q41" s="214"/>
      <c r="R41" s="214"/>
    </row>
    <row r="42" spans="1:18" ht="12.75" customHeight="1" x14ac:dyDescent="0.2">
      <c r="A42" s="213"/>
      <c r="B42" s="30" t="s">
        <v>90</v>
      </c>
      <c r="C42" s="117">
        <v>29948</v>
      </c>
      <c r="D42" s="228">
        <f>C42+C43+C44</f>
        <v>92847</v>
      </c>
      <c r="E42" s="228">
        <f>D42*3/100-(D42*3/100)*46/100</f>
        <v>1504.1214</v>
      </c>
      <c r="F42" s="228">
        <f>E42*F3</f>
        <v>12017.929986000001</v>
      </c>
      <c r="G42" s="232" t="s">
        <v>94</v>
      </c>
      <c r="H42" s="212">
        <v>12000</v>
      </c>
      <c r="I42" s="228">
        <v>12020</v>
      </c>
      <c r="J42" s="212">
        <f>H42/H82*100</f>
        <v>2.4344227375083682</v>
      </c>
      <c r="N42" s="212">
        <f>J42*J89/100</f>
        <v>2000.2637291298968</v>
      </c>
      <c r="O42" s="212">
        <f>H42+N42</f>
        <v>14000.263729129896</v>
      </c>
      <c r="P42" s="212">
        <f>O42*O2</f>
        <v>14700.276915586392</v>
      </c>
      <c r="Q42" s="212">
        <f>P42-'2019 წლის 1 მარტამდე'!D42:D44</f>
        <v>2800.2769155863916</v>
      </c>
      <c r="R42" s="212">
        <v>14700</v>
      </c>
    </row>
    <row r="43" spans="1:18" ht="12.75" customHeight="1" x14ac:dyDescent="0.2">
      <c r="A43" s="213"/>
      <c r="B43" s="30" t="s">
        <v>91</v>
      </c>
      <c r="C43" s="117">
        <v>41678</v>
      </c>
      <c r="D43" s="234"/>
      <c r="E43" s="234"/>
      <c r="F43" s="234"/>
      <c r="G43" s="236"/>
      <c r="H43" s="213"/>
      <c r="I43" s="234"/>
      <c r="J43" s="213"/>
      <c r="N43" s="213"/>
      <c r="O43" s="213"/>
      <c r="P43" s="213"/>
      <c r="Q43" s="213"/>
      <c r="R43" s="213"/>
    </row>
    <row r="44" spans="1:18" ht="12.75" customHeight="1" x14ac:dyDescent="0.2">
      <c r="A44" s="214"/>
      <c r="B44" s="30" t="s">
        <v>92</v>
      </c>
      <c r="C44" s="117">
        <v>21221</v>
      </c>
      <c r="D44" s="229"/>
      <c r="E44" s="229"/>
      <c r="F44" s="229"/>
      <c r="G44" s="233"/>
      <c r="H44" s="214"/>
      <c r="I44" s="229"/>
      <c r="J44" s="214"/>
      <c r="N44" s="214"/>
      <c r="O44" s="214"/>
      <c r="P44" s="214"/>
      <c r="Q44" s="214"/>
      <c r="R44" s="214"/>
    </row>
    <row r="45" spans="1:18" ht="12.75" customHeight="1" x14ac:dyDescent="0.2">
      <c r="A45" s="222" t="s">
        <v>112</v>
      </c>
      <c r="B45" s="30" t="s">
        <v>97</v>
      </c>
      <c r="C45" s="117">
        <v>57628</v>
      </c>
      <c r="D45" s="228">
        <f>C45+C46+C47+C48+C49+C50</f>
        <v>218098</v>
      </c>
      <c r="E45" s="228">
        <f>D45*3/100-(D45*3/100)*46/100</f>
        <v>3533.1875999999997</v>
      </c>
      <c r="F45" s="228">
        <f>E45*F3</f>
        <v>28230.168923999998</v>
      </c>
      <c r="G45" s="232" t="s">
        <v>41</v>
      </c>
      <c r="H45" s="212">
        <v>28230</v>
      </c>
      <c r="I45" s="228">
        <v>28230</v>
      </c>
      <c r="J45" s="212">
        <f>H45/H82*100</f>
        <v>5.7269794899884365</v>
      </c>
      <c r="N45" s="212">
        <f>J45*J89/100</f>
        <v>4705.6204227780818</v>
      </c>
      <c r="O45" s="212">
        <f>H45+N45</f>
        <v>32935.620422778084</v>
      </c>
      <c r="P45" s="212">
        <f>O45*O2</f>
        <v>34582.401443916991</v>
      </c>
      <c r="Q45" s="212">
        <f>P45-'2019 წლის 1 მარტამდე'!D45:D50</f>
        <v>6472.4014439169914</v>
      </c>
      <c r="R45" s="212">
        <v>34600</v>
      </c>
    </row>
    <row r="46" spans="1:18" ht="12.75" customHeight="1" x14ac:dyDescent="0.2">
      <c r="A46" s="222"/>
      <c r="B46" s="29" t="s">
        <v>144</v>
      </c>
      <c r="C46" s="117">
        <v>9737</v>
      </c>
      <c r="D46" s="234"/>
      <c r="E46" s="234"/>
      <c r="F46" s="234"/>
      <c r="G46" s="236"/>
      <c r="H46" s="213"/>
      <c r="I46" s="234"/>
      <c r="J46" s="213"/>
      <c r="N46" s="213"/>
      <c r="O46" s="213"/>
      <c r="P46" s="213"/>
      <c r="Q46" s="213"/>
      <c r="R46" s="213"/>
    </row>
    <row r="47" spans="1:18" ht="12.75" customHeight="1" x14ac:dyDescent="0.2">
      <c r="A47" s="222"/>
      <c r="B47" s="30" t="s">
        <v>100</v>
      </c>
      <c r="C47" s="117">
        <v>37775</v>
      </c>
      <c r="D47" s="234"/>
      <c r="E47" s="234"/>
      <c r="F47" s="234"/>
      <c r="G47" s="236"/>
      <c r="H47" s="213"/>
      <c r="I47" s="234"/>
      <c r="J47" s="213"/>
      <c r="N47" s="213"/>
      <c r="O47" s="213"/>
      <c r="P47" s="213"/>
      <c r="Q47" s="213"/>
      <c r="R47" s="213"/>
    </row>
    <row r="48" spans="1:18" ht="12.75" customHeight="1" x14ac:dyDescent="0.2">
      <c r="A48" s="222"/>
      <c r="B48" s="30" t="s">
        <v>102</v>
      </c>
      <c r="C48" s="117">
        <v>39884</v>
      </c>
      <c r="D48" s="234"/>
      <c r="E48" s="234"/>
      <c r="F48" s="234"/>
      <c r="G48" s="236"/>
      <c r="H48" s="213"/>
      <c r="I48" s="234"/>
      <c r="J48" s="213"/>
      <c r="N48" s="213"/>
      <c r="O48" s="213"/>
      <c r="P48" s="213"/>
      <c r="Q48" s="213"/>
      <c r="R48" s="213"/>
    </row>
    <row r="49" spans="1:18" ht="12.75" customHeight="1" x14ac:dyDescent="0.2">
      <c r="A49" s="222"/>
      <c r="B49" s="30" t="s">
        <v>96</v>
      </c>
      <c r="C49" s="117">
        <v>24512</v>
      </c>
      <c r="D49" s="234"/>
      <c r="E49" s="234"/>
      <c r="F49" s="234"/>
      <c r="G49" s="236"/>
      <c r="H49" s="213"/>
      <c r="I49" s="234"/>
      <c r="J49" s="213"/>
      <c r="N49" s="213"/>
      <c r="O49" s="213"/>
      <c r="P49" s="213"/>
      <c r="Q49" s="213"/>
      <c r="R49" s="213"/>
    </row>
    <row r="50" spans="1:18" ht="12.75" customHeight="1" x14ac:dyDescent="0.2">
      <c r="A50" s="222"/>
      <c r="B50" s="30" t="s">
        <v>99</v>
      </c>
      <c r="C50" s="117">
        <v>48562</v>
      </c>
      <c r="D50" s="229"/>
      <c r="E50" s="229"/>
      <c r="F50" s="229"/>
      <c r="G50" s="233"/>
      <c r="H50" s="214"/>
      <c r="I50" s="229"/>
      <c r="J50" s="214"/>
      <c r="N50" s="214"/>
      <c r="O50" s="214"/>
      <c r="P50" s="214"/>
      <c r="Q50" s="214"/>
      <c r="R50" s="214"/>
    </row>
    <row r="51" spans="1:18" ht="12.75" customHeight="1" x14ac:dyDescent="0.2">
      <c r="A51" s="222"/>
      <c r="B51" s="116" t="s">
        <v>103</v>
      </c>
      <c r="C51" s="117">
        <v>23570</v>
      </c>
      <c r="D51" s="228">
        <f>C51+C52+C53+C54+C55</f>
        <v>89758</v>
      </c>
      <c r="E51" s="228">
        <f>D51*3/100-(D51*3/100)*46/100</f>
        <v>1454.0795999999998</v>
      </c>
      <c r="F51" s="228">
        <f>E51*F3</f>
        <v>11618.096003999999</v>
      </c>
      <c r="G51" s="232" t="s">
        <v>206</v>
      </c>
      <c r="H51" s="212">
        <v>11620</v>
      </c>
      <c r="I51" s="228">
        <v>11620</v>
      </c>
      <c r="J51" s="212">
        <f>H51/H82*100</f>
        <v>2.3573326841539366</v>
      </c>
      <c r="N51" s="212">
        <f>J51*J89/100</f>
        <v>1936.9220443741165</v>
      </c>
      <c r="O51" s="212">
        <f>H51+N51</f>
        <v>13556.922044374116</v>
      </c>
      <c r="P51" s="212">
        <f>O51*O2</f>
        <v>14234.768146592822</v>
      </c>
      <c r="Q51" s="212">
        <f>P51-'2019 წლის 1 მარტამდე'!D51:D55</f>
        <v>2734.7681465928217</v>
      </c>
      <c r="R51" s="212">
        <v>14250</v>
      </c>
    </row>
    <row r="52" spans="1:18" ht="12.75" customHeight="1" x14ac:dyDescent="0.2">
      <c r="A52" s="222"/>
      <c r="B52" s="30" t="s">
        <v>167</v>
      </c>
      <c r="C52" s="117">
        <v>17952</v>
      </c>
      <c r="D52" s="234"/>
      <c r="E52" s="234"/>
      <c r="F52" s="234"/>
      <c r="G52" s="236"/>
      <c r="H52" s="213"/>
      <c r="I52" s="234"/>
      <c r="J52" s="213"/>
      <c r="N52" s="213"/>
      <c r="O52" s="213"/>
      <c r="P52" s="213"/>
      <c r="Q52" s="213"/>
      <c r="R52" s="213"/>
    </row>
    <row r="53" spans="1:18" ht="12.75" customHeight="1" x14ac:dyDescent="0.2">
      <c r="A53" s="222" t="s">
        <v>104</v>
      </c>
      <c r="B53" s="30" t="s">
        <v>108</v>
      </c>
      <c r="C53" s="117">
        <v>10387</v>
      </c>
      <c r="D53" s="234"/>
      <c r="E53" s="234"/>
      <c r="F53" s="234"/>
      <c r="G53" s="236"/>
      <c r="H53" s="213"/>
      <c r="I53" s="234"/>
      <c r="J53" s="213"/>
      <c r="N53" s="213"/>
      <c r="O53" s="213"/>
      <c r="P53" s="213"/>
      <c r="Q53" s="213"/>
      <c r="R53" s="213"/>
    </row>
    <row r="54" spans="1:18" ht="12.75" customHeight="1" x14ac:dyDescent="0.2">
      <c r="A54" s="222"/>
      <c r="B54" s="30" t="s">
        <v>106</v>
      </c>
      <c r="C54" s="117">
        <v>4386</v>
      </c>
      <c r="D54" s="234"/>
      <c r="E54" s="234"/>
      <c r="F54" s="234"/>
      <c r="G54" s="236"/>
      <c r="H54" s="213"/>
      <c r="I54" s="234"/>
      <c r="J54" s="213"/>
      <c r="K54" s="45"/>
      <c r="N54" s="213"/>
      <c r="O54" s="213"/>
      <c r="P54" s="213"/>
      <c r="Q54" s="213"/>
      <c r="R54" s="213"/>
    </row>
    <row r="55" spans="1:18" ht="25.5" x14ac:dyDescent="0.2">
      <c r="A55" s="115" t="s">
        <v>124</v>
      </c>
      <c r="B55" s="116" t="s">
        <v>119</v>
      </c>
      <c r="C55" s="117">
        <v>33463</v>
      </c>
      <c r="D55" s="229"/>
      <c r="E55" s="229"/>
      <c r="F55" s="229"/>
      <c r="G55" s="233"/>
      <c r="H55" s="214"/>
      <c r="I55" s="229"/>
      <c r="J55" s="214"/>
      <c r="N55" s="214"/>
      <c r="O55" s="214"/>
      <c r="P55" s="214"/>
      <c r="Q55" s="214"/>
      <c r="R55" s="214"/>
    </row>
    <row r="56" spans="1:18" ht="12.75" customHeight="1" x14ac:dyDescent="0.2">
      <c r="A56" s="235" t="s">
        <v>112</v>
      </c>
      <c r="B56" s="79" t="s">
        <v>134</v>
      </c>
      <c r="C56" s="117">
        <v>147635</v>
      </c>
      <c r="D56" s="228">
        <f>C56+C57+C58+C59+C60+C61+C62</f>
        <v>234712</v>
      </c>
      <c r="E56" s="228">
        <f>D56*3/100-(D56*3/100)*46/100</f>
        <v>3802.3343999999997</v>
      </c>
      <c r="F56" s="228">
        <f>E56*F3</f>
        <v>30380.651856</v>
      </c>
      <c r="G56" s="249" t="s">
        <v>179</v>
      </c>
      <c r="H56" s="212">
        <v>30400</v>
      </c>
      <c r="I56" s="246">
        <v>36490</v>
      </c>
      <c r="J56" s="212">
        <f>H56/H82*100</f>
        <v>6.1672042683545332</v>
      </c>
      <c r="N56" s="212">
        <f>J56*J89/100</f>
        <v>5067.3347804624045</v>
      </c>
      <c r="O56" s="212">
        <f>H56+N56</f>
        <v>35467.334780462406</v>
      </c>
      <c r="P56" s="212">
        <f>O56*O2</f>
        <v>37240.701519485527</v>
      </c>
      <c r="Q56" s="212">
        <f>P56-'2019 წლის 1 მარტამდე'!D56:D62</f>
        <v>750.70151948552666</v>
      </c>
      <c r="R56" s="212">
        <v>37250</v>
      </c>
    </row>
    <row r="57" spans="1:18" ht="12.75" customHeight="1" x14ac:dyDescent="0.2">
      <c r="A57" s="213"/>
      <c r="B57" s="79" t="s">
        <v>95</v>
      </c>
      <c r="C57" s="117">
        <v>21582</v>
      </c>
      <c r="D57" s="234"/>
      <c r="E57" s="234"/>
      <c r="F57" s="234"/>
      <c r="G57" s="249"/>
      <c r="H57" s="213"/>
      <c r="I57" s="246"/>
      <c r="J57" s="213"/>
      <c r="N57" s="213"/>
      <c r="O57" s="213"/>
      <c r="P57" s="213"/>
      <c r="Q57" s="213"/>
      <c r="R57" s="213"/>
    </row>
    <row r="58" spans="1:18" ht="12.75" customHeight="1" x14ac:dyDescent="0.2">
      <c r="A58" s="213"/>
      <c r="B58" s="79" t="s">
        <v>168</v>
      </c>
      <c r="C58" s="117">
        <f>56883-C52</f>
        <v>38931</v>
      </c>
      <c r="D58" s="234"/>
      <c r="E58" s="234"/>
      <c r="F58" s="234"/>
      <c r="G58" s="249"/>
      <c r="H58" s="213"/>
      <c r="I58" s="246"/>
      <c r="J58" s="213"/>
      <c r="N58" s="213"/>
      <c r="O58" s="213"/>
      <c r="P58" s="213"/>
      <c r="Q58" s="213"/>
      <c r="R58" s="213"/>
    </row>
    <row r="59" spans="1:18" ht="12.75" customHeight="1" x14ac:dyDescent="0.2">
      <c r="A59" s="213"/>
      <c r="B59" s="79" t="s">
        <v>207</v>
      </c>
      <c r="C59" s="117">
        <v>5080</v>
      </c>
      <c r="D59" s="234"/>
      <c r="E59" s="234"/>
      <c r="F59" s="234"/>
      <c r="G59" s="249"/>
      <c r="H59" s="213"/>
      <c r="I59" s="246"/>
      <c r="J59" s="213"/>
      <c r="N59" s="213"/>
      <c r="O59" s="213"/>
      <c r="P59" s="213"/>
      <c r="Q59" s="213"/>
      <c r="R59" s="213"/>
    </row>
    <row r="60" spans="1:18" ht="12.75" customHeight="1" x14ac:dyDescent="0.2">
      <c r="A60" s="214"/>
      <c r="B60" s="79" t="s">
        <v>209</v>
      </c>
      <c r="C60" s="117">
        <v>4168</v>
      </c>
      <c r="D60" s="234"/>
      <c r="E60" s="234"/>
      <c r="F60" s="234"/>
      <c r="G60" s="249"/>
      <c r="H60" s="213"/>
      <c r="I60" s="246"/>
      <c r="J60" s="213"/>
      <c r="N60" s="213"/>
      <c r="O60" s="213"/>
      <c r="P60" s="213"/>
      <c r="Q60" s="213"/>
      <c r="R60" s="213"/>
    </row>
    <row r="61" spans="1:18" x14ac:dyDescent="0.2">
      <c r="A61" s="247" t="s">
        <v>104</v>
      </c>
      <c r="B61" s="95" t="s">
        <v>105</v>
      </c>
      <c r="C61" s="117">
        <v>11186</v>
      </c>
      <c r="D61" s="234"/>
      <c r="E61" s="234"/>
      <c r="F61" s="234"/>
      <c r="G61" s="249"/>
      <c r="H61" s="213"/>
      <c r="I61" s="246"/>
      <c r="J61" s="213"/>
      <c r="N61" s="213"/>
      <c r="O61" s="213"/>
      <c r="P61" s="213"/>
      <c r="Q61" s="213"/>
      <c r="R61" s="213"/>
    </row>
    <row r="62" spans="1:18" ht="25.5" customHeight="1" x14ac:dyDescent="0.2">
      <c r="A62" s="247"/>
      <c r="B62" s="95" t="s">
        <v>107</v>
      </c>
      <c r="C62" s="117">
        <v>6130</v>
      </c>
      <c r="D62" s="229"/>
      <c r="E62" s="229"/>
      <c r="F62" s="229"/>
      <c r="G62" s="249"/>
      <c r="H62" s="214"/>
      <c r="I62" s="246"/>
      <c r="J62" s="214"/>
      <c r="N62" s="214"/>
      <c r="O62" s="214"/>
      <c r="P62" s="214"/>
      <c r="Q62" s="214"/>
      <c r="R62" s="214"/>
    </row>
    <row r="63" spans="1:18" ht="22.5" customHeight="1" x14ac:dyDescent="0.2">
      <c r="A63" s="248" t="s">
        <v>104</v>
      </c>
      <c r="B63" s="79" t="s">
        <v>208</v>
      </c>
      <c r="C63" s="117">
        <v>30483</v>
      </c>
      <c r="D63" s="228">
        <f>C63+C64</f>
        <v>47154</v>
      </c>
      <c r="E63" s="228">
        <f>D63*3/100-(D63*3/100)*46/100</f>
        <v>763.89479999999992</v>
      </c>
      <c r="F63" s="228">
        <f>E63*F3</f>
        <v>6103.5194519999995</v>
      </c>
      <c r="G63" s="250" t="s">
        <v>211</v>
      </c>
      <c r="H63" s="212">
        <v>9000</v>
      </c>
      <c r="I63" s="117"/>
      <c r="J63" s="212">
        <f>H63/H82*100</f>
        <v>1.8258170531312761</v>
      </c>
      <c r="N63" s="212">
        <f>J63*J89/100</f>
        <v>1500.1977968474225</v>
      </c>
      <c r="O63" s="212">
        <f>H63+N63</f>
        <v>10500.197796847422</v>
      </c>
      <c r="P63" s="212">
        <v>9000</v>
      </c>
      <c r="Q63" s="212">
        <f>P63-0</f>
        <v>9000</v>
      </c>
      <c r="R63" s="212">
        <v>9000</v>
      </c>
    </row>
    <row r="64" spans="1:18" ht="29.25" customHeight="1" x14ac:dyDescent="0.2">
      <c r="A64" s="216"/>
      <c r="B64" s="79" t="s">
        <v>210</v>
      </c>
      <c r="C64" s="117">
        <v>16671</v>
      </c>
      <c r="D64" s="229"/>
      <c r="E64" s="229"/>
      <c r="F64" s="229"/>
      <c r="G64" s="251"/>
      <c r="H64" s="213"/>
      <c r="I64" s="117"/>
      <c r="J64" s="213"/>
      <c r="N64" s="213"/>
      <c r="O64" s="213"/>
      <c r="P64" s="213"/>
      <c r="Q64" s="213"/>
      <c r="R64" s="213"/>
    </row>
    <row r="65" spans="1:18" ht="12.75" customHeight="1" x14ac:dyDescent="0.2">
      <c r="A65" s="222" t="s">
        <v>124</v>
      </c>
      <c r="B65" s="38" t="s">
        <v>116</v>
      </c>
      <c r="C65" s="117">
        <v>41465</v>
      </c>
      <c r="D65" s="228">
        <f>C65+C66+C67+C68+C69</f>
        <v>156315</v>
      </c>
      <c r="E65" s="228">
        <f>D65*3/100-(D65*3/100)*46/100</f>
        <v>2532.3029999999999</v>
      </c>
      <c r="F65" s="228">
        <f>E65*F3</f>
        <v>20233.10097</v>
      </c>
      <c r="G65" s="232" t="s">
        <v>212</v>
      </c>
      <c r="H65" s="212">
        <v>20200</v>
      </c>
      <c r="I65" s="228">
        <v>20200</v>
      </c>
      <c r="J65" s="212">
        <f>H65/H82*100</f>
        <v>4.0979449414724201</v>
      </c>
      <c r="N65" s="212">
        <f>J65*J89/100</f>
        <v>3367.1106107019923</v>
      </c>
      <c r="O65" s="212">
        <f>H65+N65</f>
        <v>23567.110610701991</v>
      </c>
      <c r="P65" s="212">
        <f>O65*O2</f>
        <v>24745.466141237092</v>
      </c>
      <c r="Q65" s="212">
        <f>P65-20200</f>
        <v>4545.4661412370915</v>
      </c>
      <c r="R65" s="212">
        <v>24750</v>
      </c>
    </row>
    <row r="66" spans="1:18" ht="12.75" customHeight="1" x14ac:dyDescent="0.2">
      <c r="A66" s="222"/>
      <c r="B66" s="12" t="s">
        <v>118</v>
      </c>
      <c r="C66" s="117">
        <v>22341</v>
      </c>
      <c r="D66" s="234"/>
      <c r="E66" s="234"/>
      <c r="F66" s="234"/>
      <c r="G66" s="236"/>
      <c r="H66" s="213"/>
      <c r="I66" s="234"/>
      <c r="J66" s="213"/>
      <c r="K66" s="45"/>
      <c r="N66" s="213"/>
      <c r="O66" s="213"/>
      <c r="P66" s="213"/>
      <c r="Q66" s="213"/>
      <c r="R66" s="213"/>
    </row>
    <row r="67" spans="1:18" ht="12.75" customHeight="1" x14ac:dyDescent="0.2">
      <c r="A67" s="222"/>
      <c r="B67" s="12" t="s">
        <v>115</v>
      </c>
      <c r="C67" s="117">
        <v>39652</v>
      </c>
      <c r="D67" s="234"/>
      <c r="E67" s="234"/>
      <c r="F67" s="234"/>
      <c r="G67" s="236"/>
      <c r="H67" s="213"/>
      <c r="I67" s="234"/>
      <c r="J67" s="213"/>
      <c r="N67" s="213"/>
      <c r="O67" s="213"/>
      <c r="P67" s="213"/>
      <c r="Q67" s="213"/>
      <c r="R67" s="213"/>
    </row>
    <row r="68" spans="1:18" ht="12.75" customHeight="1" x14ac:dyDescent="0.2">
      <c r="A68" s="222"/>
      <c r="B68" s="12" t="s">
        <v>121</v>
      </c>
      <c r="C68" s="117">
        <v>22309</v>
      </c>
      <c r="D68" s="234"/>
      <c r="E68" s="234"/>
      <c r="F68" s="234"/>
      <c r="G68" s="236"/>
      <c r="H68" s="213"/>
      <c r="I68" s="234"/>
      <c r="J68" s="213"/>
      <c r="N68" s="213"/>
      <c r="O68" s="213"/>
      <c r="P68" s="213"/>
      <c r="Q68" s="213"/>
      <c r="R68" s="213"/>
    </row>
    <row r="69" spans="1:18" ht="12.75" customHeight="1" x14ac:dyDescent="0.2">
      <c r="A69" s="222"/>
      <c r="B69" s="12" t="s">
        <v>122</v>
      </c>
      <c r="C69" s="117">
        <v>30548</v>
      </c>
      <c r="D69" s="229"/>
      <c r="E69" s="229"/>
      <c r="F69" s="229"/>
      <c r="G69" s="233"/>
      <c r="H69" s="214"/>
      <c r="I69" s="229"/>
      <c r="J69" s="214"/>
      <c r="N69" s="214"/>
      <c r="O69" s="214"/>
      <c r="P69" s="214"/>
      <c r="Q69" s="214"/>
      <c r="R69" s="214"/>
    </row>
    <row r="70" spans="1:18" ht="12.75" customHeight="1" x14ac:dyDescent="0.2">
      <c r="A70" s="222"/>
      <c r="B70" s="38" t="s">
        <v>117</v>
      </c>
      <c r="C70" s="117">
        <v>105509</v>
      </c>
      <c r="D70" s="228">
        <f>C70+C71+C72</f>
        <v>140983</v>
      </c>
      <c r="E70" s="228">
        <f>D70*3/100-(D70*3/100)*46/100</f>
        <v>2283.9246000000003</v>
      </c>
      <c r="F70" s="228">
        <f>E70*F3</f>
        <v>18248.557554000003</v>
      </c>
      <c r="G70" s="236" t="s">
        <v>41</v>
      </c>
      <c r="H70" s="212">
        <v>18200</v>
      </c>
      <c r="I70" s="228">
        <v>18300</v>
      </c>
      <c r="J70" s="212">
        <f>H70/H82*100</f>
        <v>3.6922078185543583</v>
      </c>
      <c r="N70" s="212">
        <f>J70*J89/100</f>
        <v>3033.7333225136763</v>
      </c>
      <c r="O70" s="212">
        <f>H70+N70</f>
        <v>21233.733322513675</v>
      </c>
      <c r="P70" s="212">
        <f>O70*O2</f>
        <v>22295.419988639362</v>
      </c>
      <c r="Q70" s="212">
        <f>P70-18180</f>
        <v>4115.4199886393617</v>
      </c>
      <c r="R70" s="212">
        <v>22300</v>
      </c>
    </row>
    <row r="71" spans="1:18" ht="12.75" customHeight="1" x14ac:dyDescent="0.2">
      <c r="A71" s="222"/>
      <c r="B71" s="12" t="s">
        <v>120</v>
      </c>
      <c r="C71" s="117">
        <v>9316</v>
      </c>
      <c r="D71" s="234"/>
      <c r="E71" s="234"/>
      <c r="F71" s="234"/>
      <c r="G71" s="236"/>
      <c r="H71" s="213"/>
      <c r="I71" s="234"/>
      <c r="J71" s="213"/>
      <c r="N71" s="213"/>
      <c r="O71" s="213"/>
      <c r="P71" s="213"/>
      <c r="Q71" s="213"/>
      <c r="R71" s="213"/>
    </row>
    <row r="72" spans="1:18" ht="12.75" customHeight="1" x14ac:dyDescent="0.2">
      <c r="A72" s="222"/>
      <c r="B72" s="12" t="s">
        <v>123</v>
      </c>
      <c r="C72" s="117">
        <v>26158</v>
      </c>
      <c r="D72" s="229"/>
      <c r="E72" s="229"/>
      <c r="F72" s="229"/>
      <c r="G72" s="233"/>
      <c r="H72" s="214"/>
      <c r="I72" s="229"/>
      <c r="J72" s="214"/>
      <c r="N72" s="214"/>
      <c r="O72" s="214"/>
      <c r="P72" s="214"/>
      <c r="Q72" s="214"/>
      <c r="R72" s="214"/>
    </row>
    <row r="73" spans="1:18" ht="12.75" customHeight="1" x14ac:dyDescent="0.2">
      <c r="A73" s="235" t="s">
        <v>131</v>
      </c>
      <c r="B73" s="12" t="s">
        <v>127</v>
      </c>
      <c r="C73" s="117">
        <v>62863</v>
      </c>
      <c r="D73" s="228">
        <f>C73+C74</f>
        <v>81864</v>
      </c>
      <c r="E73" s="228">
        <f>D73*3/100-(D73*3/100)*46/100</f>
        <v>1326.1967999999999</v>
      </c>
      <c r="F73" s="228">
        <f>E73*F3</f>
        <v>10596.312432000001</v>
      </c>
      <c r="G73" s="232" t="s">
        <v>130</v>
      </c>
      <c r="H73" s="212">
        <v>10600</v>
      </c>
      <c r="I73" s="228">
        <v>10600</v>
      </c>
      <c r="J73" s="212">
        <f>H73/H82*100</f>
        <v>2.1504067514657255</v>
      </c>
      <c r="N73" s="212">
        <f>J73*J89/100</f>
        <v>1766.8996273980756</v>
      </c>
      <c r="O73" s="212">
        <f>H73+N73</f>
        <v>12366.899627398076</v>
      </c>
      <c r="P73" s="212">
        <f>O73*O2</f>
        <v>12985.24460876798</v>
      </c>
      <c r="Q73" s="212">
        <f>P73-10480</f>
        <v>2505.24460876798</v>
      </c>
      <c r="R73" s="212">
        <v>13000</v>
      </c>
    </row>
    <row r="74" spans="1:18" ht="12.75" customHeight="1" x14ac:dyDescent="0.2">
      <c r="A74" s="213"/>
      <c r="B74" s="12" t="s">
        <v>129</v>
      </c>
      <c r="C74" s="117">
        <v>19001</v>
      </c>
      <c r="D74" s="229"/>
      <c r="E74" s="229"/>
      <c r="F74" s="229"/>
      <c r="G74" s="233"/>
      <c r="H74" s="214"/>
      <c r="I74" s="234"/>
      <c r="J74" s="214"/>
      <c r="N74" s="214"/>
      <c r="O74" s="214"/>
      <c r="P74" s="214"/>
      <c r="Q74" s="214"/>
      <c r="R74" s="214"/>
    </row>
    <row r="75" spans="1:18" ht="25.5" x14ac:dyDescent="0.2">
      <c r="A75" s="214"/>
      <c r="B75" s="35" t="s">
        <v>128</v>
      </c>
      <c r="C75" s="117">
        <v>31486</v>
      </c>
      <c r="D75" s="144">
        <f>C75</f>
        <v>31486</v>
      </c>
      <c r="E75" s="117">
        <f>D75*3/100-(D75*3/100)*46/100</f>
        <v>510.07320000000004</v>
      </c>
      <c r="F75" s="144">
        <f>E75*F3</f>
        <v>4075.4848680000005</v>
      </c>
      <c r="G75" s="116" t="s">
        <v>132</v>
      </c>
      <c r="H75" s="108">
        <v>9000</v>
      </c>
      <c r="I75" s="39">
        <v>4100</v>
      </c>
      <c r="J75" s="166">
        <f>H75/H82*100</f>
        <v>1.8258170531312761</v>
      </c>
      <c r="N75" s="166">
        <f>J75*J89/100</f>
        <v>1500.1977968474225</v>
      </c>
      <c r="O75" s="166">
        <f>H75+N75</f>
        <v>10500.197796847422</v>
      </c>
      <c r="P75" s="171">
        <v>9000</v>
      </c>
      <c r="Q75" s="166">
        <f>P75-'2019 წლის 1 მარტამდე'!D73</f>
        <v>4900</v>
      </c>
      <c r="R75" s="171">
        <v>9000</v>
      </c>
    </row>
    <row r="76" spans="1:18" ht="12.75" customHeight="1" x14ac:dyDescent="0.2">
      <c r="A76" s="235" t="s">
        <v>142</v>
      </c>
      <c r="B76" s="12" t="s">
        <v>133</v>
      </c>
      <c r="C76" s="117">
        <v>152839</v>
      </c>
      <c r="D76" s="228">
        <f>C76+C77+C78+C79+C80+C81</f>
        <v>333953</v>
      </c>
      <c r="E76" s="228">
        <f>D76*3/100-(D76*3/100)*46/100</f>
        <v>5410.0385999999999</v>
      </c>
      <c r="F76" s="228">
        <f>E76*F3</f>
        <v>43226.208414000001</v>
      </c>
      <c r="G76" s="232" t="s">
        <v>177</v>
      </c>
      <c r="H76" s="212">
        <v>43230</v>
      </c>
      <c r="I76" s="237">
        <v>43300</v>
      </c>
      <c r="J76" s="212">
        <f>H76/H82*100</f>
        <v>8.7700079118738969</v>
      </c>
      <c r="N76" s="212">
        <f>J76*J89/100</f>
        <v>7205.9500841904528</v>
      </c>
      <c r="O76" s="212">
        <f>H76+N76</f>
        <v>50435.950084190452</v>
      </c>
      <c r="P76" s="212">
        <f>O76*O2</f>
        <v>52957.74758839998</v>
      </c>
      <c r="Q76" s="212">
        <f>P76-43180</f>
        <v>9777.7475883999796</v>
      </c>
      <c r="R76" s="212">
        <v>53000</v>
      </c>
    </row>
    <row r="77" spans="1:18" ht="12.75" customHeight="1" x14ac:dyDescent="0.2">
      <c r="A77" s="213"/>
      <c r="B77" s="12" t="s">
        <v>137</v>
      </c>
      <c r="C77" s="117">
        <v>16760</v>
      </c>
      <c r="D77" s="234"/>
      <c r="E77" s="234"/>
      <c r="F77" s="234"/>
      <c r="G77" s="236"/>
      <c r="H77" s="213"/>
      <c r="I77" s="238"/>
      <c r="J77" s="213"/>
      <c r="N77" s="213"/>
      <c r="O77" s="213"/>
      <c r="P77" s="213"/>
      <c r="Q77" s="213"/>
      <c r="R77" s="213"/>
    </row>
    <row r="78" spans="1:18" ht="12.75" customHeight="1" x14ac:dyDescent="0.2">
      <c r="A78" s="213"/>
      <c r="B78" s="12" t="s">
        <v>138</v>
      </c>
      <c r="C78" s="117">
        <v>74794</v>
      </c>
      <c r="D78" s="234"/>
      <c r="E78" s="234"/>
      <c r="F78" s="234"/>
      <c r="G78" s="236"/>
      <c r="H78" s="213"/>
      <c r="I78" s="238"/>
      <c r="J78" s="213"/>
      <c r="N78" s="213"/>
      <c r="O78" s="213"/>
      <c r="P78" s="213"/>
      <c r="Q78" s="213"/>
      <c r="R78" s="213"/>
    </row>
    <row r="79" spans="1:18" ht="12.75" customHeight="1" x14ac:dyDescent="0.2">
      <c r="A79" s="213"/>
      <c r="B79" s="12" t="s">
        <v>139</v>
      </c>
      <c r="C79" s="117">
        <v>15044</v>
      </c>
      <c r="D79" s="234"/>
      <c r="E79" s="234"/>
      <c r="F79" s="234"/>
      <c r="G79" s="236"/>
      <c r="H79" s="213"/>
      <c r="I79" s="238"/>
      <c r="J79" s="213"/>
      <c r="N79" s="213"/>
      <c r="O79" s="213"/>
      <c r="P79" s="213"/>
      <c r="Q79" s="213"/>
      <c r="R79" s="213"/>
    </row>
    <row r="80" spans="1:18" ht="12.75" customHeight="1" x14ac:dyDescent="0.2">
      <c r="A80" s="213"/>
      <c r="B80" s="12" t="s">
        <v>140</v>
      </c>
      <c r="C80" s="117">
        <v>51189</v>
      </c>
      <c r="D80" s="234"/>
      <c r="E80" s="234"/>
      <c r="F80" s="234"/>
      <c r="G80" s="236"/>
      <c r="H80" s="213"/>
      <c r="I80" s="238"/>
      <c r="J80" s="213"/>
      <c r="N80" s="213"/>
      <c r="O80" s="213"/>
      <c r="P80" s="213"/>
      <c r="Q80" s="213"/>
      <c r="R80" s="213"/>
    </row>
    <row r="81" spans="1:18" ht="12.75" customHeight="1" x14ac:dyDescent="0.2">
      <c r="A81" s="214"/>
      <c r="B81" s="12" t="s">
        <v>141</v>
      </c>
      <c r="C81" s="117">
        <v>23327</v>
      </c>
      <c r="D81" s="229"/>
      <c r="E81" s="229"/>
      <c r="F81" s="229"/>
      <c r="G81" s="233"/>
      <c r="H81" s="214"/>
      <c r="I81" s="239"/>
      <c r="J81" s="214"/>
      <c r="N81" s="214"/>
      <c r="O81" s="214"/>
      <c r="P81" s="214"/>
      <c r="Q81" s="214"/>
      <c r="R81" s="214"/>
    </row>
    <row r="82" spans="1:18" x14ac:dyDescent="0.3">
      <c r="C82" s="146">
        <f>SUM(C4:C81)</f>
        <v>3714244</v>
      </c>
      <c r="D82" s="146"/>
      <c r="H82" s="45">
        <f>H4+H6+H8+H10+H15+H16+H23+H26+H29+H34+H38+H42+H45+H51+H56+H63+H65+H70+H73+H75+H76</f>
        <v>492930</v>
      </c>
      <c r="I82" s="41"/>
      <c r="J82" s="45"/>
      <c r="N82" s="45"/>
      <c r="O82" s="45">
        <f>O4+O6+O8+O10+O15+O16+O23+O26+O29+O34+O38+O42+O45+O51+O56+O63+O65+O70+O73+O75+O76</f>
        <v>575095.83333333326</v>
      </c>
      <c r="P82" s="45">
        <f>P4+P6+P8+P10+P15+P16+P23+P26+P29+P34+P38+P42+P45+P51+P56+P63+P65+P70+P73+P75+P76</f>
        <v>594287.60578327556</v>
      </c>
      <c r="Q82" s="45"/>
      <c r="R82" s="45">
        <f t="shared" ref="R82" si="0">R4+R6+R8+R10+R15+R16+R23+R26+R29+R34+R38+R42+R45+R51+R56+R63+R65+R70+R73+R75+R76</f>
        <v>599590</v>
      </c>
    </row>
    <row r="83" spans="1:18" x14ac:dyDescent="0.2">
      <c r="D83" s="144">
        <v>70000</v>
      </c>
      <c r="E83" s="144">
        <f>D83*3/100-(D83*3/100)*46/100</f>
        <v>1134</v>
      </c>
      <c r="F83" s="144">
        <f>E83*F3</f>
        <v>9060.66</v>
      </c>
      <c r="H83" s="110"/>
      <c r="J83" s="110"/>
      <c r="N83" s="110"/>
      <c r="O83" s="110"/>
      <c r="P83" s="110"/>
      <c r="Q83" s="110"/>
      <c r="R83" s="110"/>
    </row>
    <row r="84" spans="1:18" x14ac:dyDescent="0.2">
      <c r="G84" s="28" t="s">
        <v>215</v>
      </c>
      <c r="H84" s="109">
        <v>483880</v>
      </c>
      <c r="J84" s="109">
        <f>H84*3</f>
        <v>1451640</v>
      </c>
      <c r="N84" s="109"/>
      <c r="O84" s="109"/>
      <c r="P84" s="109">
        <f>H84*3</f>
        <v>1451640</v>
      </c>
      <c r="Q84" s="109"/>
      <c r="R84" s="109">
        <f>P84</f>
        <v>1451640</v>
      </c>
    </row>
    <row r="85" spans="1:18" x14ac:dyDescent="0.2">
      <c r="A85" s="29"/>
      <c r="B85" s="29"/>
      <c r="C85" s="29"/>
      <c r="D85" s="29"/>
      <c r="E85" s="29"/>
      <c r="F85" s="29"/>
      <c r="G85" s="47" t="s">
        <v>214</v>
      </c>
      <c r="H85" s="147">
        <f>H82</f>
        <v>492930</v>
      </c>
      <c r="J85" s="147">
        <f>H85*9</f>
        <v>4436370</v>
      </c>
      <c r="N85" s="147"/>
      <c r="O85" s="147"/>
      <c r="P85" s="147">
        <f>P82*9</f>
        <v>5348588.4520494798</v>
      </c>
      <c r="Q85" s="147"/>
      <c r="R85" s="147">
        <f>R82*9</f>
        <v>5396310</v>
      </c>
    </row>
    <row r="86" spans="1:18" x14ac:dyDescent="0.2">
      <c r="A86" s="29"/>
      <c r="B86" s="29"/>
      <c r="C86" s="29"/>
      <c r="D86" s="29"/>
      <c r="E86" s="29"/>
      <c r="F86" s="29"/>
      <c r="G86" s="77"/>
      <c r="H86" s="47"/>
      <c r="J86" s="147">
        <f>J84+J85</f>
        <v>5888010</v>
      </c>
      <c r="N86" s="147"/>
      <c r="O86" s="147"/>
      <c r="P86" s="147">
        <f>P84+P85</f>
        <v>6800228.4520494798</v>
      </c>
      <c r="Q86" s="147"/>
      <c r="R86" s="147">
        <f>R84+R85</f>
        <v>6847950</v>
      </c>
    </row>
    <row r="87" spans="1:18" x14ac:dyDescent="0.2">
      <c r="A87" s="29"/>
      <c r="B87" s="29"/>
      <c r="C87" s="29"/>
      <c r="D87" s="29"/>
      <c r="E87" s="29"/>
      <c r="F87" s="29"/>
      <c r="G87" s="47"/>
      <c r="H87" s="47"/>
      <c r="I87" s="71"/>
      <c r="J87" s="47"/>
      <c r="N87" s="47"/>
      <c r="O87" s="47"/>
      <c r="P87" s="47"/>
      <c r="Q87" s="47"/>
      <c r="R87" s="47"/>
    </row>
    <row r="88" spans="1:18" x14ac:dyDescent="0.25">
      <c r="G88" s="111"/>
      <c r="J88" s="2">
        <v>985990</v>
      </c>
      <c r="N88" s="2"/>
      <c r="O88" s="2"/>
      <c r="P88" s="2"/>
      <c r="Q88" s="2"/>
      <c r="R88" s="2"/>
    </row>
    <row r="89" spans="1:18" x14ac:dyDescent="0.2">
      <c r="A89" s="29"/>
      <c r="B89" s="29"/>
      <c r="C89" s="29"/>
      <c r="D89" s="29"/>
      <c r="E89" s="29"/>
      <c r="F89" s="29"/>
      <c r="G89" s="112"/>
      <c r="J89" s="111">
        <f>J88/12</f>
        <v>82165.833333333328</v>
      </c>
    </row>
    <row r="90" spans="1:18" x14ac:dyDescent="0.2">
      <c r="G90" s="112"/>
    </row>
  </sheetData>
  <mergeCells count="240">
    <mergeCell ref="P76:P81"/>
    <mergeCell ref="R4:R5"/>
    <mergeCell ref="R6:R7"/>
    <mergeCell ref="R8:R9"/>
    <mergeCell ref="R10:R14"/>
    <mergeCell ref="R16:R22"/>
    <mergeCell ref="R23:R25"/>
    <mergeCell ref="R26:R28"/>
    <mergeCell ref="R29:R33"/>
    <mergeCell ref="R34:R37"/>
    <mergeCell ref="R38:R41"/>
    <mergeCell ref="R42:R44"/>
    <mergeCell ref="R45:R50"/>
    <mergeCell ref="R51:R55"/>
    <mergeCell ref="R56:R62"/>
    <mergeCell ref="R63:R64"/>
    <mergeCell ref="R65:R69"/>
    <mergeCell ref="R70:R72"/>
    <mergeCell ref="R73:R74"/>
    <mergeCell ref="R76:R81"/>
    <mergeCell ref="P38:P41"/>
    <mergeCell ref="P42:P44"/>
    <mergeCell ref="P45:P50"/>
    <mergeCell ref="P51:P55"/>
    <mergeCell ref="P56:P62"/>
    <mergeCell ref="P63:P64"/>
    <mergeCell ref="P65:P69"/>
    <mergeCell ref="P70:P72"/>
    <mergeCell ref="P73:P74"/>
    <mergeCell ref="P4:P5"/>
    <mergeCell ref="P6:P7"/>
    <mergeCell ref="P8:P9"/>
    <mergeCell ref="P10:P14"/>
    <mergeCell ref="P16:P22"/>
    <mergeCell ref="P23:P25"/>
    <mergeCell ref="P26:P28"/>
    <mergeCell ref="P29:P33"/>
    <mergeCell ref="P34:P37"/>
    <mergeCell ref="D63:D64"/>
    <mergeCell ref="D65:D69"/>
    <mergeCell ref="D70:D72"/>
    <mergeCell ref="D73:D74"/>
    <mergeCell ref="E63:E64"/>
    <mergeCell ref="H6:H7"/>
    <mergeCell ref="H8:H9"/>
    <mergeCell ref="H10:H14"/>
    <mergeCell ref="F42:F44"/>
    <mergeCell ref="F45:F50"/>
    <mergeCell ref="F51:F55"/>
    <mergeCell ref="F56:F62"/>
    <mergeCell ref="F63:F64"/>
    <mergeCell ref="F23:F25"/>
    <mergeCell ref="F26:F28"/>
    <mergeCell ref="F29:F33"/>
    <mergeCell ref="F34:F37"/>
    <mergeCell ref="F38:F41"/>
    <mergeCell ref="G63:G64"/>
    <mergeCell ref="H63:H64"/>
    <mergeCell ref="A63:A64"/>
    <mergeCell ref="E10:E14"/>
    <mergeCell ref="G10:G14"/>
    <mergeCell ref="A56:A60"/>
    <mergeCell ref="G56:G62"/>
    <mergeCell ref="H56:H62"/>
    <mergeCell ref="A38:A44"/>
    <mergeCell ref="G38:G41"/>
    <mergeCell ref="H38:H41"/>
    <mergeCell ref="A28:A33"/>
    <mergeCell ref="A16:A22"/>
    <mergeCell ref="G16:G22"/>
    <mergeCell ref="H16:H22"/>
    <mergeCell ref="D38:D41"/>
    <mergeCell ref="D42:D44"/>
    <mergeCell ref="D45:D50"/>
    <mergeCell ref="D51:D55"/>
    <mergeCell ref="D56:D62"/>
    <mergeCell ref="D16:D22"/>
    <mergeCell ref="D23:D25"/>
    <mergeCell ref="D26:D28"/>
    <mergeCell ref="D29:D33"/>
    <mergeCell ref="D34:D37"/>
    <mergeCell ref="F10:F14"/>
    <mergeCell ref="A73:A75"/>
    <mergeCell ref="G73:G74"/>
    <mergeCell ref="H73:H74"/>
    <mergeCell ref="I73:I74"/>
    <mergeCell ref="A76:A81"/>
    <mergeCell ref="G76:G81"/>
    <mergeCell ref="H76:H81"/>
    <mergeCell ref="I76:I81"/>
    <mergeCell ref="E73:E74"/>
    <mergeCell ref="E76:E81"/>
    <mergeCell ref="F73:F74"/>
    <mergeCell ref="F76:F81"/>
    <mergeCell ref="D76:D81"/>
    <mergeCell ref="A65:A72"/>
    <mergeCell ref="G65:G69"/>
    <mergeCell ref="H65:H69"/>
    <mergeCell ref="I65:I69"/>
    <mergeCell ref="G70:G72"/>
    <mergeCell ref="H70:H72"/>
    <mergeCell ref="I70:I72"/>
    <mergeCell ref="E65:E69"/>
    <mergeCell ref="E70:E72"/>
    <mergeCell ref="F65:F69"/>
    <mergeCell ref="F70:F72"/>
    <mergeCell ref="I56:I62"/>
    <mergeCell ref="A61:A62"/>
    <mergeCell ref="A45:A52"/>
    <mergeCell ref="G45:G50"/>
    <mergeCell ref="H45:H50"/>
    <mergeCell ref="I45:I50"/>
    <mergeCell ref="G51:G55"/>
    <mergeCell ref="H51:H55"/>
    <mergeCell ref="I51:I55"/>
    <mergeCell ref="A53:A54"/>
    <mergeCell ref="E45:E50"/>
    <mergeCell ref="E51:E55"/>
    <mergeCell ref="E56:E62"/>
    <mergeCell ref="I38:I41"/>
    <mergeCell ref="G42:G44"/>
    <mergeCell ref="H42:H44"/>
    <mergeCell ref="I42:I44"/>
    <mergeCell ref="I26:I28"/>
    <mergeCell ref="G29:G33"/>
    <mergeCell ref="H29:H33"/>
    <mergeCell ref="I29:I33"/>
    <mergeCell ref="A34:A37"/>
    <mergeCell ref="G34:G37"/>
    <mergeCell ref="H34:H37"/>
    <mergeCell ref="I34:I37"/>
    <mergeCell ref="E29:E33"/>
    <mergeCell ref="E34:E37"/>
    <mergeCell ref="E38:E41"/>
    <mergeCell ref="E42:E44"/>
    <mergeCell ref="I16:I22"/>
    <mergeCell ref="A23:A26"/>
    <mergeCell ref="G23:G25"/>
    <mergeCell ref="H23:H25"/>
    <mergeCell ref="I23:I25"/>
    <mergeCell ref="G26:G28"/>
    <mergeCell ref="H26:H28"/>
    <mergeCell ref="E16:E22"/>
    <mergeCell ref="E23:E25"/>
    <mergeCell ref="E26:E28"/>
    <mergeCell ref="F16:F22"/>
    <mergeCell ref="A1:I1"/>
    <mergeCell ref="A4:A15"/>
    <mergeCell ref="G4:G5"/>
    <mergeCell ref="H4:H5"/>
    <mergeCell ref="I4:I5"/>
    <mergeCell ref="I6:I14"/>
    <mergeCell ref="E4:E5"/>
    <mergeCell ref="G8:G9"/>
    <mergeCell ref="G6:G7"/>
    <mergeCell ref="E6:E7"/>
    <mergeCell ref="E8:E9"/>
    <mergeCell ref="D4:D5"/>
    <mergeCell ref="D6:D7"/>
    <mergeCell ref="D8:D9"/>
    <mergeCell ref="D10:D14"/>
    <mergeCell ref="F4:F5"/>
    <mergeCell ref="F6:F7"/>
    <mergeCell ref="F8:F9"/>
    <mergeCell ref="J56:J62"/>
    <mergeCell ref="J63:J64"/>
    <mergeCell ref="J65:J69"/>
    <mergeCell ref="J70:J72"/>
    <mergeCell ref="J73:J74"/>
    <mergeCell ref="J4:J5"/>
    <mergeCell ref="J6:J7"/>
    <mergeCell ref="J8:J9"/>
    <mergeCell ref="J10:J14"/>
    <mergeCell ref="J16:J22"/>
    <mergeCell ref="J23:J25"/>
    <mergeCell ref="J26:J28"/>
    <mergeCell ref="J29:J33"/>
    <mergeCell ref="J34:J37"/>
    <mergeCell ref="J76:J81"/>
    <mergeCell ref="N4:N5"/>
    <mergeCell ref="N6:N7"/>
    <mergeCell ref="N8:N9"/>
    <mergeCell ref="N10:N14"/>
    <mergeCell ref="N16:N22"/>
    <mergeCell ref="N23:N25"/>
    <mergeCell ref="N26:N28"/>
    <mergeCell ref="N29:N33"/>
    <mergeCell ref="N34:N37"/>
    <mergeCell ref="N38:N41"/>
    <mergeCell ref="N42:N44"/>
    <mergeCell ref="N45:N50"/>
    <mergeCell ref="N51:N55"/>
    <mergeCell ref="N56:N62"/>
    <mergeCell ref="N63:N64"/>
    <mergeCell ref="N65:N69"/>
    <mergeCell ref="N70:N72"/>
    <mergeCell ref="N73:N74"/>
    <mergeCell ref="N76:N81"/>
    <mergeCell ref="J38:J41"/>
    <mergeCell ref="J42:J44"/>
    <mergeCell ref="J45:J50"/>
    <mergeCell ref="J51:J55"/>
    <mergeCell ref="O56:O62"/>
    <mergeCell ref="O63:O64"/>
    <mergeCell ref="O65:O69"/>
    <mergeCell ref="O70:O72"/>
    <mergeCell ref="O73:O74"/>
    <mergeCell ref="O4:O5"/>
    <mergeCell ref="O6:O7"/>
    <mergeCell ref="O8:O9"/>
    <mergeCell ref="O10:O14"/>
    <mergeCell ref="O16:O22"/>
    <mergeCell ref="O23:O25"/>
    <mergeCell ref="O26:O28"/>
    <mergeCell ref="O29:O33"/>
    <mergeCell ref="O34:O37"/>
    <mergeCell ref="O76:O81"/>
    <mergeCell ref="Q4:Q5"/>
    <mergeCell ref="Q6:Q7"/>
    <mergeCell ref="Q8:Q9"/>
    <mergeCell ref="Q10:Q14"/>
    <mergeCell ref="Q16:Q22"/>
    <mergeCell ref="Q23:Q25"/>
    <mergeCell ref="Q26:Q28"/>
    <mergeCell ref="Q29:Q33"/>
    <mergeCell ref="Q34:Q37"/>
    <mergeCell ref="Q38:Q41"/>
    <mergeCell ref="Q42:Q44"/>
    <mergeCell ref="Q45:Q50"/>
    <mergeCell ref="Q51:Q55"/>
    <mergeCell ref="Q56:Q62"/>
    <mergeCell ref="Q63:Q64"/>
    <mergeCell ref="Q65:Q69"/>
    <mergeCell ref="Q70:Q72"/>
    <mergeCell ref="Q73:Q74"/>
    <mergeCell ref="Q76:Q81"/>
    <mergeCell ref="O38:O41"/>
    <mergeCell ref="O42:O44"/>
    <mergeCell ref="O45:O50"/>
    <mergeCell ref="O51:O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7" workbookViewId="0">
      <selection activeCell="C29" sqref="C29:C33"/>
    </sheetView>
  </sheetViews>
  <sheetFormatPr defaultRowHeight="15" x14ac:dyDescent="0.2"/>
  <cols>
    <col min="1" max="1" width="16" style="27" customWidth="1"/>
    <col min="2" max="2" width="29.7109375" style="27" customWidth="1"/>
    <col min="3" max="3" width="28" style="28" customWidth="1"/>
    <col min="4" max="4" width="19.85546875" style="28" customWidth="1"/>
    <col min="5" max="5" width="16.5703125" style="40" hidden="1" customWidth="1"/>
    <col min="6" max="6" width="9.140625" style="29"/>
    <col min="7" max="7" width="12.42578125" style="29" hidden="1" customWidth="1"/>
    <col min="8" max="8" width="11" style="29" hidden="1" customWidth="1"/>
    <col min="9" max="9" width="0" style="29" hidden="1" customWidth="1"/>
    <col min="10" max="10" width="12.42578125" style="29" bestFit="1" customWidth="1"/>
    <col min="11" max="242" width="9.140625" style="29"/>
    <col min="243" max="243" width="3.7109375" style="29" customWidth="1"/>
    <col min="244" max="244" width="12.85546875" style="29" customWidth="1"/>
    <col min="245" max="245" width="37.5703125" style="29" bestFit="1" customWidth="1"/>
    <col min="246" max="246" width="13.85546875" style="29" customWidth="1"/>
    <col min="247" max="247" width="13" style="29" customWidth="1"/>
    <col min="248" max="248" width="13.42578125" style="29" customWidth="1"/>
    <col min="249" max="249" width="11.28515625" style="29" customWidth="1"/>
    <col min="250" max="250" width="20.85546875" style="29" bestFit="1" customWidth="1"/>
    <col min="251" max="251" width="13.28515625" style="29" customWidth="1"/>
    <col min="252" max="252" width="19.7109375" style="29" customWidth="1"/>
    <col min="253" max="253" width="11.5703125" style="29" customWidth="1"/>
    <col min="254" max="254" width="23.28515625" style="29" customWidth="1"/>
    <col min="255" max="255" width="15.5703125" style="29" customWidth="1"/>
    <col min="256" max="498" width="9.140625" style="29"/>
    <col min="499" max="499" width="3.7109375" style="29" customWidth="1"/>
    <col min="500" max="500" width="12.85546875" style="29" customWidth="1"/>
    <col min="501" max="501" width="37.5703125" style="29" bestFit="1" customWidth="1"/>
    <col min="502" max="502" width="13.85546875" style="29" customWidth="1"/>
    <col min="503" max="503" width="13" style="29" customWidth="1"/>
    <col min="504" max="504" width="13.42578125" style="29" customWidth="1"/>
    <col min="505" max="505" width="11.28515625" style="29" customWidth="1"/>
    <col min="506" max="506" width="20.85546875" style="29" bestFit="1" customWidth="1"/>
    <col min="507" max="507" width="13.28515625" style="29" customWidth="1"/>
    <col min="508" max="508" width="19.7109375" style="29" customWidth="1"/>
    <col min="509" max="509" width="11.5703125" style="29" customWidth="1"/>
    <col min="510" max="510" width="23.28515625" style="29" customWidth="1"/>
    <col min="511" max="511" width="15.5703125" style="29" customWidth="1"/>
    <col min="512" max="754" width="9.140625" style="29"/>
    <col min="755" max="755" width="3.7109375" style="29" customWidth="1"/>
    <col min="756" max="756" width="12.85546875" style="29" customWidth="1"/>
    <col min="757" max="757" width="37.5703125" style="29" bestFit="1" customWidth="1"/>
    <col min="758" max="758" width="13.85546875" style="29" customWidth="1"/>
    <col min="759" max="759" width="13" style="29" customWidth="1"/>
    <col min="760" max="760" width="13.42578125" style="29" customWidth="1"/>
    <col min="761" max="761" width="11.28515625" style="29" customWidth="1"/>
    <col min="762" max="762" width="20.85546875" style="29" bestFit="1" customWidth="1"/>
    <col min="763" max="763" width="13.28515625" style="29" customWidth="1"/>
    <col min="764" max="764" width="19.7109375" style="29" customWidth="1"/>
    <col min="765" max="765" width="11.5703125" style="29" customWidth="1"/>
    <col min="766" max="766" width="23.28515625" style="29" customWidth="1"/>
    <col min="767" max="767" width="15.5703125" style="29" customWidth="1"/>
    <col min="768" max="1010" width="9.140625" style="29"/>
    <col min="1011" max="1011" width="3.7109375" style="29" customWidth="1"/>
    <col min="1012" max="1012" width="12.85546875" style="29" customWidth="1"/>
    <col min="1013" max="1013" width="37.5703125" style="29" bestFit="1" customWidth="1"/>
    <col min="1014" max="1014" width="13.85546875" style="29" customWidth="1"/>
    <col min="1015" max="1015" width="13" style="29" customWidth="1"/>
    <col min="1016" max="1016" width="13.42578125" style="29" customWidth="1"/>
    <col min="1017" max="1017" width="11.28515625" style="29" customWidth="1"/>
    <col min="1018" max="1018" width="20.85546875" style="29" bestFit="1" customWidth="1"/>
    <col min="1019" max="1019" width="13.28515625" style="29" customWidth="1"/>
    <col min="1020" max="1020" width="19.7109375" style="29" customWidth="1"/>
    <col min="1021" max="1021" width="11.5703125" style="29" customWidth="1"/>
    <col min="1022" max="1022" width="23.28515625" style="29" customWidth="1"/>
    <col min="1023" max="1023" width="15.5703125" style="29" customWidth="1"/>
    <col min="1024" max="1266" width="9.140625" style="29"/>
    <col min="1267" max="1267" width="3.7109375" style="29" customWidth="1"/>
    <col min="1268" max="1268" width="12.85546875" style="29" customWidth="1"/>
    <col min="1269" max="1269" width="37.5703125" style="29" bestFit="1" customWidth="1"/>
    <col min="1270" max="1270" width="13.85546875" style="29" customWidth="1"/>
    <col min="1271" max="1271" width="13" style="29" customWidth="1"/>
    <col min="1272" max="1272" width="13.42578125" style="29" customWidth="1"/>
    <col min="1273" max="1273" width="11.28515625" style="29" customWidth="1"/>
    <col min="1274" max="1274" width="20.85546875" style="29" bestFit="1" customWidth="1"/>
    <col min="1275" max="1275" width="13.28515625" style="29" customWidth="1"/>
    <col min="1276" max="1276" width="19.7109375" style="29" customWidth="1"/>
    <col min="1277" max="1277" width="11.5703125" style="29" customWidth="1"/>
    <col min="1278" max="1278" width="23.28515625" style="29" customWidth="1"/>
    <col min="1279" max="1279" width="15.5703125" style="29" customWidth="1"/>
    <col min="1280" max="1522" width="9.140625" style="29"/>
    <col min="1523" max="1523" width="3.7109375" style="29" customWidth="1"/>
    <col min="1524" max="1524" width="12.85546875" style="29" customWidth="1"/>
    <col min="1525" max="1525" width="37.5703125" style="29" bestFit="1" customWidth="1"/>
    <col min="1526" max="1526" width="13.85546875" style="29" customWidth="1"/>
    <col min="1527" max="1527" width="13" style="29" customWidth="1"/>
    <col min="1528" max="1528" width="13.42578125" style="29" customWidth="1"/>
    <col min="1529" max="1529" width="11.28515625" style="29" customWidth="1"/>
    <col min="1530" max="1530" width="20.85546875" style="29" bestFit="1" customWidth="1"/>
    <col min="1531" max="1531" width="13.28515625" style="29" customWidth="1"/>
    <col min="1532" max="1532" width="19.7109375" style="29" customWidth="1"/>
    <col min="1533" max="1533" width="11.5703125" style="29" customWidth="1"/>
    <col min="1534" max="1534" width="23.28515625" style="29" customWidth="1"/>
    <col min="1535" max="1535" width="15.5703125" style="29" customWidth="1"/>
    <col min="1536" max="1778" width="9.140625" style="29"/>
    <col min="1779" max="1779" width="3.7109375" style="29" customWidth="1"/>
    <col min="1780" max="1780" width="12.85546875" style="29" customWidth="1"/>
    <col min="1781" max="1781" width="37.5703125" style="29" bestFit="1" customWidth="1"/>
    <col min="1782" max="1782" width="13.85546875" style="29" customWidth="1"/>
    <col min="1783" max="1783" width="13" style="29" customWidth="1"/>
    <col min="1784" max="1784" width="13.42578125" style="29" customWidth="1"/>
    <col min="1785" max="1785" width="11.28515625" style="29" customWidth="1"/>
    <col min="1786" max="1786" width="20.85546875" style="29" bestFit="1" customWidth="1"/>
    <col min="1787" max="1787" width="13.28515625" style="29" customWidth="1"/>
    <col min="1788" max="1788" width="19.7109375" style="29" customWidth="1"/>
    <col min="1789" max="1789" width="11.5703125" style="29" customWidth="1"/>
    <col min="1790" max="1790" width="23.28515625" style="29" customWidth="1"/>
    <col min="1791" max="1791" width="15.5703125" style="29" customWidth="1"/>
    <col min="1792" max="2034" width="9.140625" style="29"/>
    <col min="2035" max="2035" width="3.7109375" style="29" customWidth="1"/>
    <col min="2036" max="2036" width="12.85546875" style="29" customWidth="1"/>
    <col min="2037" max="2037" width="37.5703125" style="29" bestFit="1" customWidth="1"/>
    <col min="2038" max="2038" width="13.85546875" style="29" customWidth="1"/>
    <col min="2039" max="2039" width="13" style="29" customWidth="1"/>
    <col min="2040" max="2040" width="13.42578125" style="29" customWidth="1"/>
    <col min="2041" max="2041" width="11.28515625" style="29" customWidth="1"/>
    <col min="2042" max="2042" width="20.85546875" style="29" bestFit="1" customWidth="1"/>
    <col min="2043" max="2043" width="13.28515625" style="29" customWidth="1"/>
    <col min="2044" max="2044" width="19.7109375" style="29" customWidth="1"/>
    <col min="2045" max="2045" width="11.5703125" style="29" customWidth="1"/>
    <col min="2046" max="2046" width="23.28515625" style="29" customWidth="1"/>
    <col min="2047" max="2047" width="15.5703125" style="29" customWidth="1"/>
    <col min="2048" max="2290" width="9.140625" style="29"/>
    <col min="2291" max="2291" width="3.7109375" style="29" customWidth="1"/>
    <col min="2292" max="2292" width="12.85546875" style="29" customWidth="1"/>
    <col min="2293" max="2293" width="37.5703125" style="29" bestFit="1" customWidth="1"/>
    <col min="2294" max="2294" width="13.85546875" style="29" customWidth="1"/>
    <col min="2295" max="2295" width="13" style="29" customWidth="1"/>
    <col min="2296" max="2296" width="13.42578125" style="29" customWidth="1"/>
    <col min="2297" max="2297" width="11.28515625" style="29" customWidth="1"/>
    <col min="2298" max="2298" width="20.85546875" style="29" bestFit="1" customWidth="1"/>
    <col min="2299" max="2299" width="13.28515625" style="29" customWidth="1"/>
    <col min="2300" max="2300" width="19.7109375" style="29" customWidth="1"/>
    <col min="2301" max="2301" width="11.5703125" style="29" customWidth="1"/>
    <col min="2302" max="2302" width="23.28515625" style="29" customWidth="1"/>
    <col min="2303" max="2303" width="15.5703125" style="29" customWidth="1"/>
    <col min="2304" max="2546" width="9.140625" style="29"/>
    <col min="2547" max="2547" width="3.7109375" style="29" customWidth="1"/>
    <col min="2548" max="2548" width="12.85546875" style="29" customWidth="1"/>
    <col min="2549" max="2549" width="37.5703125" style="29" bestFit="1" customWidth="1"/>
    <col min="2550" max="2550" width="13.85546875" style="29" customWidth="1"/>
    <col min="2551" max="2551" width="13" style="29" customWidth="1"/>
    <col min="2552" max="2552" width="13.42578125" style="29" customWidth="1"/>
    <col min="2553" max="2553" width="11.28515625" style="29" customWidth="1"/>
    <col min="2554" max="2554" width="20.85546875" style="29" bestFit="1" customWidth="1"/>
    <col min="2555" max="2555" width="13.28515625" style="29" customWidth="1"/>
    <col min="2556" max="2556" width="19.7109375" style="29" customWidth="1"/>
    <col min="2557" max="2557" width="11.5703125" style="29" customWidth="1"/>
    <col min="2558" max="2558" width="23.28515625" style="29" customWidth="1"/>
    <col min="2559" max="2559" width="15.5703125" style="29" customWidth="1"/>
    <col min="2560" max="2802" width="9.140625" style="29"/>
    <col min="2803" max="2803" width="3.7109375" style="29" customWidth="1"/>
    <col min="2804" max="2804" width="12.85546875" style="29" customWidth="1"/>
    <col min="2805" max="2805" width="37.5703125" style="29" bestFit="1" customWidth="1"/>
    <col min="2806" max="2806" width="13.85546875" style="29" customWidth="1"/>
    <col min="2807" max="2807" width="13" style="29" customWidth="1"/>
    <col min="2808" max="2808" width="13.42578125" style="29" customWidth="1"/>
    <col min="2809" max="2809" width="11.28515625" style="29" customWidth="1"/>
    <col min="2810" max="2810" width="20.85546875" style="29" bestFit="1" customWidth="1"/>
    <col min="2811" max="2811" width="13.28515625" style="29" customWidth="1"/>
    <col min="2812" max="2812" width="19.7109375" style="29" customWidth="1"/>
    <col min="2813" max="2813" width="11.5703125" style="29" customWidth="1"/>
    <col min="2814" max="2814" width="23.28515625" style="29" customWidth="1"/>
    <col min="2815" max="2815" width="15.5703125" style="29" customWidth="1"/>
    <col min="2816" max="3058" width="9.140625" style="29"/>
    <col min="3059" max="3059" width="3.7109375" style="29" customWidth="1"/>
    <col min="3060" max="3060" width="12.85546875" style="29" customWidth="1"/>
    <col min="3061" max="3061" width="37.5703125" style="29" bestFit="1" customWidth="1"/>
    <col min="3062" max="3062" width="13.85546875" style="29" customWidth="1"/>
    <col min="3063" max="3063" width="13" style="29" customWidth="1"/>
    <col min="3064" max="3064" width="13.42578125" style="29" customWidth="1"/>
    <col min="3065" max="3065" width="11.28515625" style="29" customWidth="1"/>
    <col min="3066" max="3066" width="20.85546875" style="29" bestFit="1" customWidth="1"/>
    <col min="3067" max="3067" width="13.28515625" style="29" customWidth="1"/>
    <col min="3068" max="3068" width="19.7109375" style="29" customWidth="1"/>
    <col min="3069" max="3069" width="11.5703125" style="29" customWidth="1"/>
    <col min="3070" max="3070" width="23.28515625" style="29" customWidth="1"/>
    <col min="3071" max="3071" width="15.5703125" style="29" customWidth="1"/>
    <col min="3072" max="3314" width="9.140625" style="29"/>
    <col min="3315" max="3315" width="3.7109375" style="29" customWidth="1"/>
    <col min="3316" max="3316" width="12.85546875" style="29" customWidth="1"/>
    <col min="3317" max="3317" width="37.5703125" style="29" bestFit="1" customWidth="1"/>
    <col min="3318" max="3318" width="13.85546875" style="29" customWidth="1"/>
    <col min="3319" max="3319" width="13" style="29" customWidth="1"/>
    <col min="3320" max="3320" width="13.42578125" style="29" customWidth="1"/>
    <col min="3321" max="3321" width="11.28515625" style="29" customWidth="1"/>
    <col min="3322" max="3322" width="20.85546875" style="29" bestFit="1" customWidth="1"/>
    <col min="3323" max="3323" width="13.28515625" style="29" customWidth="1"/>
    <col min="3324" max="3324" width="19.7109375" style="29" customWidth="1"/>
    <col min="3325" max="3325" width="11.5703125" style="29" customWidth="1"/>
    <col min="3326" max="3326" width="23.28515625" style="29" customWidth="1"/>
    <col min="3327" max="3327" width="15.5703125" style="29" customWidth="1"/>
    <col min="3328" max="3570" width="9.140625" style="29"/>
    <col min="3571" max="3571" width="3.7109375" style="29" customWidth="1"/>
    <col min="3572" max="3572" width="12.85546875" style="29" customWidth="1"/>
    <col min="3573" max="3573" width="37.5703125" style="29" bestFit="1" customWidth="1"/>
    <col min="3574" max="3574" width="13.85546875" style="29" customWidth="1"/>
    <col min="3575" max="3575" width="13" style="29" customWidth="1"/>
    <col min="3576" max="3576" width="13.42578125" style="29" customWidth="1"/>
    <col min="3577" max="3577" width="11.28515625" style="29" customWidth="1"/>
    <col min="3578" max="3578" width="20.85546875" style="29" bestFit="1" customWidth="1"/>
    <col min="3579" max="3579" width="13.28515625" style="29" customWidth="1"/>
    <col min="3580" max="3580" width="19.7109375" style="29" customWidth="1"/>
    <col min="3581" max="3581" width="11.5703125" style="29" customWidth="1"/>
    <col min="3582" max="3582" width="23.28515625" style="29" customWidth="1"/>
    <col min="3583" max="3583" width="15.5703125" style="29" customWidth="1"/>
    <col min="3584" max="3826" width="9.140625" style="29"/>
    <col min="3827" max="3827" width="3.7109375" style="29" customWidth="1"/>
    <col min="3828" max="3828" width="12.85546875" style="29" customWidth="1"/>
    <col min="3829" max="3829" width="37.5703125" style="29" bestFit="1" customWidth="1"/>
    <col min="3830" max="3830" width="13.85546875" style="29" customWidth="1"/>
    <col min="3831" max="3831" width="13" style="29" customWidth="1"/>
    <col min="3832" max="3832" width="13.42578125" style="29" customWidth="1"/>
    <col min="3833" max="3833" width="11.28515625" style="29" customWidth="1"/>
    <col min="3834" max="3834" width="20.85546875" style="29" bestFit="1" customWidth="1"/>
    <col min="3835" max="3835" width="13.28515625" style="29" customWidth="1"/>
    <col min="3836" max="3836" width="19.7109375" style="29" customWidth="1"/>
    <col min="3837" max="3837" width="11.5703125" style="29" customWidth="1"/>
    <col min="3838" max="3838" width="23.28515625" style="29" customWidth="1"/>
    <col min="3839" max="3839" width="15.5703125" style="29" customWidth="1"/>
    <col min="3840" max="4082" width="9.140625" style="29"/>
    <col min="4083" max="4083" width="3.7109375" style="29" customWidth="1"/>
    <col min="4084" max="4084" width="12.85546875" style="29" customWidth="1"/>
    <col min="4085" max="4085" width="37.5703125" style="29" bestFit="1" customWidth="1"/>
    <col min="4086" max="4086" width="13.85546875" style="29" customWidth="1"/>
    <col min="4087" max="4087" width="13" style="29" customWidth="1"/>
    <col min="4088" max="4088" width="13.42578125" style="29" customWidth="1"/>
    <col min="4089" max="4089" width="11.28515625" style="29" customWidth="1"/>
    <col min="4090" max="4090" width="20.85546875" style="29" bestFit="1" customWidth="1"/>
    <col min="4091" max="4091" width="13.28515625" style="29" customWidth="1"/>
    <col min="4092" max="4092" width="19.7109375" style="29" customWidth="1"/>
    <col min="4093" max="4093" width="11.5703125" style="29" customWidth="1"/>
    <col min="4094" max="4094" width="23.28515625" style="29" customWidth="1"/>
    <col min="4095" max="4095" width="15.5703125" style="29" customWidth="1"/>
    <col min="4096" max="4338" width="9.140625" style="29"/>
    <col min="4339" max="4339" width="3.7109375" style="29" customWidth="1"/>
    <col min="4340" max="4340" width="12.85546875" style="29" customWidth="1"/>
    <col min="4341" max="4341" width="37.5703125" style="29" bestFit="1" customWidth="1"/>
    <col min="4342" max="4342" width="13.85546875" style="29" customWidth="1"/>
    <col min="4343" max="4343" width="13" style="29" customWidth="1"/>
    <col min="4344" max="4344" width="13.42578125" style="29" customWidth="1"/>
    <col min="4345" max="4345" width="11.28515625" style="29" customWidth="1"/>
    <col min="4346" max="4346" width="20.85546875" style="29" bestFit="1" customWidth="1"/>
    <col min="4347" max="4347" width="13.28515625" style="29" customWidth="1"/>
    <col min="4348" max="4348" width="19.7109375" style="29" customWidth="1"/>
    <col min="4349" max="4349" width="11.5703125" style="29" customWidth="1"/>
    <col min="4350" max="4350" width="23.28515625" style="29" customWidth="1"/>
    <col min="4351" max="4351" width="15.5703125" style="29" customWidth="1"/>
    <col min="4352" max="4594" width="9.140625" style="29"/>
    <col min="4595" max="4595" width="3.7109375" style="29" customWidth="1"/>
    <col min="4596" max="4596" width="12.85546875" style="29" customWidth="1"/>
    <col min="4597" max="4597" width="37.5703125" style="29" bestFit="1" customWidth="1"/>
    <col min="4598" max="4598" width="13.85546875" style="29" customWidth="1"/>
    <col min="4599" max="4599" width="13" style="29" customWidth="1"/>
    <col min="4600" max="4600" width="13.42578125" style="29" customWidth="1"/>
    <col min="4601" max="4601" width="11.28515625" style="29" customWidth="1"/>
    <col min="4602" max="4602" width="20.85546875" style="29" bestFit="1" customWidth="1"/>
    <col min="4603" max="4603" width="13.28515625" style="29" customWidth="1"/>
    <col min="4604" max="4604" width="19.7109375" style="29" customWidth="1"/>
    <col min="4605" max="4605" width="11.5703125" style="29" customWidth="1"/>
    <col min="4606" max="4606" width="23.28515625" style="29" customWidth="1"/>
    <col min="4607" max="4607" width="15.5703125" style="29" customWidth="1"/>
    <col min="4608" max="4850" width="9.140625" style="29"/>
    <col min="4851" max="4851" width="3.7109375" style="29" customWidth="1"/>
    <col min="4852" max="4852" width="12.85546875" style="29" customWidth="1"/>
    <col min="4853" max="4853" width="37.5703125" style="29" bestFit="1" customWidth="1"/>
    <col min="4854" max="4854" width="13.85546875" style="29" customWidth="1"/>
    <col min="4855" max="4855" width="13" style="29" customWidth="1"/>
    <col min="4856" max="4856" width="13.42578125" style="29" customWidth="1"/>
    <col min="4857" max="4857" width="11.28515625" style="29" customWidth="1"/>
    <col min="4858" max="4858" width="20.85546875" style="29" bestFit="1" customWidth="1"/>
    <col min="4859" max="4859" width="13.28515625" style="29" customWidth="1"/>
    <col min="4860" max="4860" width="19.7109375" style="29" customWidth="1"/>
    <col min="4861" max="4861" width="11.5703125" style="29" customWidth="1"/>
    <col min="4862" max="4862" width="23.28515625" style="29" customWidth="1"/>
    <col min="4863" max="4863" width="15.5703125" style="29" customWidth="1"/>
    <col min="4864" max="5106" width="9.140625" style="29"/>
    <col min="5107" max="5107" width="3.7109375" style="29" customWidth="1"/>
    <col min="5108" max="5108" width="12.85546875" style="29" customWidth="1"/>
    <col min="5109" max="5109" width="37.5703125" style="29" bestFit="1" customWidth="1"/>
    <col min="5110" max="5110" width="13.85546875" style="29" customWidth="1"/>
    <col min="5111" max="5111" width="13" style="29" customWidth="1"/>
    <col min="5112" max="5112" width="13.42578125" style="29" customWidth="1"/>
    <col min="5113" max="5113" width="11.28515625" style="29" customWidth="1"/>
    <col min="5114" max="5114" width="20.85546875" style="29" bestFit="1" customWidth="1"/>
    <col min="5115" max="5115" width="13.28515625" style="29" customWidth="1"/>
    <col min="5116" max="5116" width="19.7109375" style="29" customWidth="1"/>
    <col min="5117" max="5117" width="11.5703125" style="29" customWidth="1"/>
    <col min="5118" max="5118" width="23.28515625" style="29" customWidth="1"/>
    <col min="5119" max="5119" width="15.5703125" style="29" customWidth="1"/>
    <col min="5120" max="5362" width="9.140625" style="29"/>
    <col min="5363" max="5363" width="3.7109375" style="29" customWidth="1"/>
    <col min="5364" max="5364" width="12.85546875" style="29" customWidth="1"/>
    <col min="5365" max="5365" width="37.5703125" style="29" bestFit="1" customWidth="1"/>
    <col min="5366" max="5366" width="13.85546875" style="29" customWidth="1"/>
    <col min="5367" max="5367" width="13" style="29" customWidth="1"/>
    <col min="5368" max="5368" width="13.42578125" style="29" customWidth="1"/>
    <col min="5369" max="5369" width="11.28515625" style="29" customWidth="1"/>
    <col min="5370" max="5370" width="20.85546875" style="29" bestFit="1" customWidth="1"/>
    <col min="5371" max="5371" width="13.28515625" style="29" customWidth="1"/>
    <col min="5372" max="5372" width="19.7109375" style="29" customWidth="1"/>
    <col min="5373" max="5373" width="11.5703125" style="29" customWidth="1"/>
    <col min="5374" max="5374" width="23.28515625" style="29" customWidth="1"/>
    <col min="5375" max="5375" width="15.5703125" style="29" customWidth="1"/>
    <col min="5376" max="5618" width="9.140625" style="29"/>
    <col min="5619" max="5619" width="3.7109375" style="29" customWidth="1"/>
    <col min="5620" max="5620" width="12.85546875" style="29" customWidth="1"/>
    <col min="5621" max="5621" width="37.5703125" style="29" bestFit="1" customWidth="1"/>
    <col min="5622" max="5622" width="13.85546875" style="29" customWidth="1"/>
    <col min="5623" max="5623" width="13" style="29" customWidth="1"/>
    <col min="5624" max="5624" width="13.42578125" style="29" customWidth="1"/>
    <col min="5625" max="5625" width="11.28515625" style="29" customWidth="1"/>
    <col min="5626" max="5626" width="20.85546875" style="29" bestFit="1" customWidth="1"/>
    <col min="5627" max="5627" width="13.28515625" style="29" customWidth="1"/>
    <col min="5628" max="5628" width="19.7109375" style="29" customWidth="1"/>
    <col min="5629" max="5629" width="11.5703125" style="29" customWidth="1"/>
    <col min="5630" max="5630" width="23.28515625" style="29" customWidth="1"/>
    <col min="5631" max="5631" width="15.5703125" style="29" customWidth="1"/>
    <col min="5632" max="5874" width="9.140625" style="29"/>
    <col min="5875" max="5875" width="3.7109375" style="29" customWidth="1"/>
    <col min="5876" max="5876" width="12.85546875" style="29" customWidth="1"/>
    <col min="5877" max="5877" width="37.5703125" style="29" bestFit="1" customWidth="1"/>
    <col min="5878" max="5878" width="13.85546875" style="29" customWidth="1"/>
    <col min="5879" max="5879" width="13" style="29" customWidth="1"/>
    <col min="5880" max="5880" width="13.42578125" style="29" customWidth="1"/>
    <col min="5881" max="5881" width="11.28515625" style="29" customWidth="1"/>
    <col min="5882" max="5882" width="20.85546875" style="29" bestFit="1" customWidth="1"/>
    <col min="5883" max="5883" width="13.28515625" style="29" customWidth="1"/>
    <col min="5884" max="5884" width="19.7109375" style="29" customWidth="1"/>
    <col min="5885" max="5885" width="11.5703125" style="29" customWidth="1"/>
    <col min="5886" max="5886" width="23.28515625" style="29" customWidth="1"/>
    <col min="5887" max="5887" width="15.5703125" style="29" customWidth="1"/>
    <col min="5888" max="6130" width="9.140625" style="29"/>
    <col min="6131" max="6131" width="3.7109375" style="29" customWidth="1"/>
    <col min="6132" max="6132" width="12.85546875" style="29" customWidth="1"/>
    <col min="6133" max="6133" width="37.5703125" style="29" bestFit="1" customWidth="1"/>
    <col min="6134" max="6134" width="13.85546875" style="29" customWidth="1"/>
    <col min="6135" max="6135" width="13" style="29" customWidth="1"/>
    <col min="6136" max="6136" width="13.42578125" style="29" customWidth="1"/>
    <col min="6137" max="6137" width="11.28515625" style="29" customWidth="1"/>
    <col min="6138" max="6138" width="20.85546875" style="29" bestFit="1" customWidth="1"/>
    <col min="6139" max="6139" width="13.28515625" style="29" customWidth="1"/>
    <col min="6140" max="6140" width="19.7109375" style="29" customWidth="1"/>
    <col min="6141" max="6141" width="11.5703125" style="29" customWidth="1"/>
    <col min="6142" max="6142" width="23.28515625" style="29" customWidth="1"/>
    <col min="6143" max="6143" width="15.5703125" style="29" customWidth="1"/>
    <col min="6144" max="6386" width="9.140625" style="29"/>
    <col min="6387" max="6387" width="3.7109375" style="29" customWidth="1"/>
    <col min="6388" max="6388" width="12.85546875" style="29" customWidth="1"/>
    <col min="6389" max="6389" width="37.5703125" style="29" bestFit="1" customWidth="1"/>
    <col min="6390" max="6390" width="13.85546875" style="29" customWidth="1"/>
    <col min="6391" max="6391" width="13" style="29" customWidth="1"/>
    <col min="6392" max="6392" width="13.42578125" style="29" customWidth="1"/>
    <col min="6393" max="6393" width="11.28515625" style="29" customWidth="1"/>
    <col min="6394" max="6394" width="20.85546875" style="29" bestFit="1" customWidth="1"/>
    <col min="6395" max="6395" width="13.28515625" style="29" customWidth="1"/>
    <col min="6396" max="6396" width="19.7109375" style="29" customWidth="1"/>
    <col min="6397" max="6397" width="11.5703125" style="29" customWidth="1"/>
    <col min="6398" max="6398" width="23.28515625" style="29" customWidth="1"/>
    <col min="6399" max="6399" width="15.5703125" style="29" customWidth="1"/>
    <col min="6400" max="6642" width="9.140625" style="29"/>
    <col min="6643" max="6643" width="3.7109375" style="29" customWidth="1"/>
    <col min="6644" max="6644" width="12.85546875" style="29" customWidth="1"/>
    <col min="6645" max="6645" width="37.5703125" style="29" bestFit="1" customWidth="1"/>
    <col min="6646" max="6646" width="13.85546875" style="29" customWidth="1"/>
    <col min="6647" max="6647" width="13" style="29" customWidth="1"/>
    <col min="6648" max="6648" width="13.42578125" style="29" customWidth="1"/>
    <col min="6649" max="6649" width="11.28515625" style="29" customWidth="1"/>
    <col min="6650" max="6650" width="20.85546875" style="29" bestFit="1" customWidth="1"/>
    <col min="6651" max="6651" width="13.28515625" style="29" customWidth="1"/>
    <col min="6652" max="6652" width="19.7109375" style="29" customWidth="1"/>
    <col min="6653" max="6653" width="11.5703125" style="29" customWidth="1"/>
    <col min="6654" max="6654" width="23.28515625" style="29" customWidth="1"/>
    <col min="6655" max="6655" width="15.5703125" style="29" customWidth="1"/>
    <col min="6656" max="6898" width="9.140625" style="29"/>
    <col min="6899" max="6899" width="3.7109375" style="29" customWidth="1"/>
    <col min="6900" max="6900" width="12.85546875" style="29" customWidth="1"/>
    <col min="6901" max="6901" width="37.5703125" style="29" bestFit="1" customWidth="1"/>
    <col min="6902" max="6902" width="13.85546875" style="29" customWidth="1"/>
    <col min="6903" max="6903" width="13" style="29" customWidth="1"/>
    <col min="6904" max="6904" width="13.42578125" style="29" customWidth="1"/>
    <col min="6905" max="6905" width="11.28515625" style="29" customWidth="1"/>
    <col min="6906" max="6906" width="20.85546875" style="29" bestFit="1" customWidth="1"/>
    <col min="6907" max="6907" width="13.28515625" style="29" customWidth="1"/>
    <col min="6908" max="6908" width="19.7109375" style="29" customWidth="1"/>
    <col min="6909" max="6909" width="11.5703125" style="29" customWidth="1"/>
    <col min="6910" max="6910" width="23.28515625" style="29" customWidth="1"/>
    <col min="6911" max="6911" width="15.5703125" style="29" customWidth="1"/>
    <col min="6912" max="7154" width="9.140625" style="29"/>
    <col min="7155" max="7155" width="3.7109375" style="29" customWidth="1"/>
    <col min="7156" max="7156" width="12.85546875" style="29" customWidth="1"/>
    <col min="7157" max="7157" width="37.5703125" style="29" bestFit="1" customWidth="1"/>
    <col min="7158" max="7158" width="13.85546875" style="29" customWidth="1"/>
    <col min="7159" max="7159" width="13" style="29" customWidth="1"/>
    <col min="7160" max="7160" width="13.42578125" style="29" customWidth="1"/>
    <col min="7161" max="7161" width="11.28515625" style="29" customWidth="1"/>
    <col min="7162" max="7162" width="20.85546875" style="29" bestFit="1" customWidth="1"/>
    <col min="7163" max="7163" width="13.28515625" style="29" customWidth="1"/>
    <col min="7164" max="7164" width="19.7109375" style="29" customWidth="1"/>
    <col min="7165" max="7165" width="11.5703125" style="29" customWidth="1"/>
    <col min="7166" max="7166" width="23.28515625" style="29" customWidth="1"/>
    <col min="7167" max="7167" width="15.5703125" style="29" customWidth="1"/>
    <col min="7168" max="7410" width="9.140625" style="29"/>
    <col min="7411" max="7411" width="3.7109375" style="29" customWidth="1"/>
    <col min="7412" max="7412" width="12.85546875" style="29" customWidth="1"/>
    <col min="7413" max="7413" width="37.5703125" style="29" bestFit="1" customWidth="1"/>
    <col min="7414" max="7414" width="13.85546875" style="29" customWidth="1"/>
    <col min="7415" max="7415" width="13" style="29" customWidth="1"/>
    <col min="7416" max="7416" width="13.42578125" style="29" customWidth="1"/>
    <col min="7417" max="7417" width="11.28515625" style="29" customWidth="1"/>
    <col min="7418" max="7418" width="20.85546875" style="29" bestFit="1" customWidth="1"/>
    <col min="7419" max="7419" width="13.28515625" style="29" customWidth="1"/>
    <col min="7420" max="7420" width="19.7109375" style="29" customWidth="1"/>
    <col min="7421" max="7421" width="11.5703125" style="29" customWidth="1"/>
    <col min="7422" max="7422" width="23.28515625" style="29" customWidth="1"/>
    <col min="7423" max="7423" width="15.5703125" style="29" customWidth="1"/>
    <col min="7424" max="7666" width="9.140625" style="29"/>
    <col min="7667" max="7667" width="3.7109375" style="29" customWidth="1"/>
    <col min="7668" max="7668" width="12.85546875" style="29" customWidth="1"/>
    <col min="7669" max="7669" width="37.5703125" style="29" bestFit="1" customWidth="1"/>
    <col min="7670" max="7670" width="13.85546875" style="29" customWidth="1"/>
    <col min="7671" max="7671" width="13" style="29" customWidth="1"/>
    <col min="7672" max="7672" width="13.42578125" style="29" customWidth="1"/>
    <col min="7673" max="7673" width="11.28515625" style="29" customWidth="1"/>
    <col min="7674" max="7674" width="20.85546875" style="29" bestFit="1" customWidth="1"/>
    <col min="7675" max="7675" width="13.28515625" style="29" customWidth="1"/>
    <col min="7676" max="7676" width="19.7109375" style="29" customWidth="1"/>
    <col min="7677" max="7677" width="11.5703125" style="29" customWidth="1"/>
    <col min="7678" max="7678" width="23.28515625" style="29" customWidth="1"/>
    <col min="7679" max="7679" width="15.5703125" style="29" customWidth="1"/>
    <col min="7680" max="7922" width="9.140625" style="29"/>
    <col min="7923" max="7923" width="3.7109375" style="29" customWidth="1"/>
    <col min="7924" max="7924" width="12.85546875" style="29" customWidth="1"/>
    <col min="7925" max="7925" width="37.5703125" style="29" bestFit="1" customWidth="1"/>
    <col min="7926" max="7926" width="13.85546875" style="29" customWidth="1"/>
    <col min="7927" max="7927" width="13" style="29" customWidth="1"/>
    <col min="7928" max="7928" width="13.42578125" style="29" customWidth="1"/>
    <col min="7929" max="7929" width="11.28515625" style="29" customWidth="1"/>
    <col min="7930" max="7930" width="20.85546875" style="29" bestFit="1" customWidth="1"/>
    <col min="7931" max="7931" width="13.28515625" style="29" customWidth="1"/>
    <col min="7932" max="7932" width="19.7109375" style="29" customWidth="1"/>
    <col min="7933" max="7933" width="11.5703125" style="29" customWidth="1"/>
    <col min="7934" max="7934" width="23.28515625" style="29" customWidth="1"/>
    <col min="7935" max="7935" width="15.5703125" style="29" customWidth="1"/>
    <col min="7936" max="8178" width="9.140625" style="29"/>
    <col min="8179" max="8179" width="3.7109375" style="29" customWidth="1"/>
    <col min="8180" max="8180" width="12.85546875" style="29" customWidth="1"/>
    <col min="8181" max="8181" width="37.5703125" style="29" bestFit="1" customWidth="1"/>
    <col min="8182" max="8182" width="13.85546875" style="29" customWidth="1"/>
    <col min="8183" max="8183" width="13" style="29" customWidth="1"/>
    <col min="8184" max="8184" width="13.42578125" style="29" customWidth="1"/>
    <col min="8185" max="8185" width="11.28515625" style="29" customWidth="1"/>
    <col min="8186" max="8186" width="20.85546875" style="29" bestFit="1" customWidth="1"/>
    <col min="8187" max="8187" width="13.28515625" style="29" customWidth="1"/>
    <col min="8188" max="8188" width="19.7109375" style="29" customWidth="1"/>
    <col min="8189" max="8189" width="11.5703125" style="29" customWidth="1"/>
    <col min="8190" max="8190" width="23.28515625" style="29" customWidth="1"/>
    <col min="8191" max="8191" width="15.5703125" style="29" customWidth="1"/>
    <col min="8192" max="8434" width="9.140625" style="29"/>
    <col min="8435" max="8435" width="3.7109375" style="29" customWidth="1"/>
    <col min="8436" max="8436" width="12.85546875" style="29" customWidth="1"/>
    <col min="8437" max="8437" width="37.5703125" style="29" bestFit="1" customWidth="1"/>
    <col min="8438" max="8438" width="13.85546875" style="29" customWidth="1"/>
    <col min="8439" max="8439" width="13" style="29" customWidth="1"/>
    <col min="8440" max="8440" width="13.42578125" style="29" customWidth="1"/>
    <col min="8441" max="8441" width="11.28515625" style="29" customWidth="1"/>
    <col min="8442" max="8442" width="20.85546875" style="29" bestFit="1" customWidth="1"/>
    <col min="8443" max="8443" width="13.28515625" style="29" customWidth="1"/>
    <col min="8444" max="8444" width="19.7109375" style="29" customWidth="1"/>
    <col min="8445" max="8445" width="11.5703125" style="29" customWidth="1"/>
    <col min="8446" max="8446" width="23.28515625" style="29" customWidth="1"/>
    <col min="8447" max="8447" width="15.5703125" style="29" customWidth="1"/>
    <col min="8448" max="8690" width="9.140625" style="29"/>
    <col min="8691" max="8691" width="3.7109375" style="29" customWidth="1"/>
    <col min="8692" max="8692" width="12.85546875" style="29" customWidth="1"/>
    <col min="8693" max="8693" width="37.5703125" style="29" bestFit="1" customWidth="1"/>
    <col min="8694" max="8694" width="13.85546875" style="29" customWidth="1"/>
    <col min="8695" max="8695" width="13" style="29" customWidth="1"/>
    <col min="8696" max="8696" width="13.42578125" style="29" customWidth="1"/>
    <col min="8697" max="8697" width="11.28515625" style="29" customWidth="1"/>
    <col min="8698" max="8698" width="20.85546875" style="29" bestFit="1" customWidth="1"/>
    <col min="8699" max="8699" width="13.28515625" style="29" customWidth="1"/>
    <col min="8700" max="8700" width="19.7109375" style="29" customWidth="1"/>
    <col min="8701" max="8701" width="11.5703125" style="29" customWidth="1"/>
    <col min="8702" max="8702" width="23.28515625" style="29" customWidth="1"/>
    <col min="8703" max="8703" width="15.5703125" style="29" customWidth="1"/>
    <col min="8704" max="8946" width="9.140625" style="29"/>
    <col min="8947" max="8947" width="3.7109375" style="29" customWidth="1"/>
    <col min="8948" max="8948" width="12.85546875" style="29" customWidth="1"/>
    <col min="8949" max="8949" width="37.5703125" style="29" bestFit="1" customWidth="1"/>
    <col min="8950" max="8950" width="13.85546875" style="29" customWidth="1"/>
    <col min="8951" max="8951" width="13" style="29" customWidth="1"/>
    <col min="8952" max="8952" width="13.42578125" style="29" customWidth="1"/>
    <col min="8953" max="8953" width="11.28515625" style="29" customWidth="1"/>
    <col min="8954" max="8954" width="20.85546875" style="29" bestFit="1" customWidth="1"/>
    <col min="8955" max="8955" width="13.28515625" style="29" customWidth="1"/>
    <col min="8956" max="8956" width="19.7109375" style="29" customWidth="1"/>
    <col min="8957" max="8957" width="11.5703125" style="29" customWidth="1"/>
    <col min="8958" max="8958" width="23.28515625" style="29" customWidth="1"/>
    <col min="8959" max="8959" width="15.5703125" style="29" customWidth="1"/>
    <col min="8960" max="9202" width="9.140625" style="29"/>
    <col min="9203" max="9203" width="3.7109375" style="29" customWidth="1"/>
    <col min="9204" max="9204" width="12.85546875" style="29" customWidth="1"/>
    <col min="9205" max="9205" width="37.5703125" style="29" bestFit="1" customWidth="1"/>
    <col min="9206" max="9206" width="13.85546875" style="29" customWidth="1"/>
    <col min="9207" max="9207" width="13" style="29" customWidth="1"/>
    <col min="9208" max="9208" width="13.42578125" style="29" customWidth="1"/>
    <col min="9209" max="9209" width="11.28515625" style="29" customWidth="1"/>
    <col min="9210" max="9210" width="20.85546875" style="29" bestFit="1" customWidth="1"/>
    <col min="9211" max="9211" width="13.28515625" style="29" customWidth="1"/>
    <col min="9212" max="9212" width="19.7109375" style="29" customWidth="1"/>
    <col min="9213" max="9213" width="11.5703125" style="29" customWidth="1"/>
    <col min="9214" max="9214" width="23.28515625" style="29" customWidth="1"/>
    <col min="9215" max="9215" width="15.5703125" style="29" customWidth="1"/>
    <col min="9216" max="9458" width="9.140625" style="29"/>
    <col min="9459" max="9459" width="3.7109375" style="29" customWidth="1"/>
    <col min="9460" max="9460" width="12.85546875" style="29" customWidth="1"/>
    <col min="9461" max="9461" width="37.5703125" style="29" bestFit="1" customWidth="1"/>
    <col min="9462" max="9462" width="13.85546875" style="29" customWidth="1"/>
    <col min="9463" max="9463" width="13" style="29" customWidth="1"/>
    <col min="9464" max="9464" width="13.42578125" style="29" customWidth="1"/>
    <col min="9465" max="9465" width="11.28515625" style="29" customWidth="1"/>
    <col min="9466" max="9466" width="20.85546875" style="29" bestFit="1" customWidth="1"/>
    <col min="9467" max="9467" width="13.28515625" style="29" customWidth="1"/>
    <col min="9468" max="9468" width="19.7109375" style="29" customWidth="1"/>
    <col min="9469" max="9469" width="11.5703125" style="29" customWidth="1"/>
    <col min="9470" max="9470" width="23.28515625" style="29" customWidth="1"/>
    <col min="9471" max="9471" width="15.5703125" style="29" customWidth="1"/>
    <col min="9472" max="9714" width="9.140625" style="29"/>
    <col min="9715" max="9715" width="3.7109375" style="29" customWidth="1"/>
    <col min="9716" max="9716" width="12.85546875" style="29" customWidth="1"/>
    <col min="9717" max="9717" width="37.5703125" style="29" bestFit="1" customWidth="1"/>
    <col min="9718" max="9718" width="13.85546875" style="29" customWidth="1"/>
    <col min="9719" max="9719" width="13" style="29" customWidth="1"/>
    <col min="9720" max="9720" width="13.42578125" style="29" customWidth="1"/>
    <col min="9721" max="9721" width="11.28515625" style="29" customWidth="1"/>
    <col min="9722" max="9722" width="20.85546875" style="29" bestFit="1" customWidth="1"/>
    <col min="9723" max="9723" width="13.28515625" style="29" customWidth="1"/>
    <col min="9724" max="9724" width="19.7109375" style="29" customWidth="1"/>
    <col min="9725" max="9725" width="11.5703125" style="29" customWidth="1"/>
    <col min="9726" max="9726" width="23.28515625" style="29" customWidth="1"/>
    <col min="9727" max="9727" width="15.5703125" style="29" customWidth="1"/>
    <col min="9728" max="9970" width="9.140625" style="29"/>
    <col min="9971" max="9971" width="3.7109375" style="29" customWidth="1"/>
    <col min="9972" max="9972" width="12.85546875" style="29" customWidth="1"/>
    <col min="9973" max="9973" width="37.5703125" style="29" bestFit="1" customWidth="1"/>
    <col min="9974" max="9974" width="13.85546875" style="29" customWidth="1"/>
    <col min="9975" max="9975" width="13" style="29" customWidth="1"/>
    <col min="9976" max="9976" width="13.42578125" style="29" customWidth="1"/>
    <col min="9977" max="9977" width="11.28515625" style="29" customWidth="1"/>
    <col min="9978" max="9978" width="20.85546875" style="29" bestFit="1" customWidth="1"/>
    <col min="9979" max="9979" width="13.28515625" style="29" customWidth="1"/>
    <col min="9980" max="9980" width="19.7109375" style="29" customWidth="1"/>
    <col min="9981" max="9981" width="11.5703125" style="29" customWidth="1"/>
    <col min="9982" max="9982" width="23.28515625" style="29" customWidth="1"/>
    <col min="9983" max="9983" width="15.5703125" style="29" customWidth="1"/>
    <col min="9984" max="10226" width="9.140625" style="29"/>
    <col min="10227" max="10227" width="3.7109375" style="29" customWidth="1"/>
    <col min="10228" max="10228" width="12.85546875" style="29" customWidth="1"/>
    <col min="10229" max="10229" width="37.5703125" style="29" bestFit="1" customWidth="1"/>
    <col min="10230" max="10230" width="13.85546875" style="29" customWidth="1"/>
    <col min="10231" max="10231" width="13" style="29" customWidth="1"/>
    <col min="10232" max="10232" width="13.42578125" style="29" customWidth="1"/>
    <col min="10233" max="10233" width="11.28515625" style="29" customWidth="1"/>
    <col min="10234" max="10234" width="20.85546875" style="29" bestFit="1" customWidth="1"/>
    <col min="10235" max="10235" width="13.28515625" style="29" customWidth="1"/>
    <col min="10236" max="10236" width="19.7109375" style="29" customWidth="1"/>
    <col min="10237" max="10237" width="11.5703125" style="29" customWidth="1"/>
    <col min="10238" max="10238" width="23.28515625" style="29" customWidth="1"/>
    <col min="10239" max="10239" width="15.5703125" style="29" customWidth="1"/>
    <col min="10240" max="10482" width="9.140625" style="29"/>
    <col min="10483" max="10483" width="3.7109375" style="29" customWidth="1"/>
    <col min="10484" max="10484" width="12.85546875" style="29" customWidth="1"/>
    <col min="10485" max="10485" width="37.5703125" style="29" bestFit="1" customWidth="1"/>
    <col min="10486" max="10486" width="13.85546875" style="29" customWidth="1"/>
    <col min="10487" max="10487" width="13" style="29" customWidth="1"/>
    <col min="10488" max="10488" width="13.42578125" style="29" customWidth="1"/>
    <col min="10489" max="10489" width="11.28515625" style="29" customWidth="1"/>
    <col min="10490" max="10490" width="20.85546875" style="29" bestFit="1" customWidth="1"/>
    <col min="10491" max="10491" width="13.28515625" style="29" customWidth="1"/>
    <col min="10492" max="10492" width="19.7109375" style="29" customWidth="1"/>
    <col min="10493" max="10493" width="11.5703125" style="29" customWidth="1"/>
    <col min="10494" max="10494" width="23.28515625" style="29" customWidth="1"/>
    <col min="10495" max="10495" width="15.5703125" style="29" customWidth="1"/>
    <col min="10496" max="10738" width="9.140625" style="29"/>
    <col min="10739" max="10739" width="3.7109375" style="29" customWidth="1"/>
    <col min="10740" max="10740" width="12.85546875" style="29" customWidth="1"/>
    <col min="10741" max="10741" width="37.5703125" style="29" bestFit="1" customWidth="1"/>
    <col min="10742" max="10742" width="13.85546875" style="29" customWidth="1"/>
    <col min="10743" max="10743" width="13" style="29" customWidth="1"/>
    <col min="10744" max="10744" width="13.42578125" style="29" customWidth="1"/>
    <col min="10745" max="10745" width="11.28515625" style="29" customWidth="1"/>
    <col min="10746" max="10746" width="20.85546875" style="29" bestFit="1" customWidth="1"/>
    <col min="10747" max="10747" width="13.28515625" style="29" customWidth="1"/>
    <col min="10748" max="10748" width="19.7109375" style="29" customWidth="1"/>
    <col min="10749" max="10749" width="11.5703125" style="29" customWidth="1"/>
    <col min="10750" max="10750" width="23.28515625" style="29" customWidth="1"/>
    <col min="10751" max="10751" width="15.5703125" style="29" customWidth="1"/>
    <col min="10752" max="10994" width="9.140625" style="29"/>
    <col min="10995" max="10995" width="3.7109375" style="29" customWidth="1"/>
    <col min="10996" max="10996" width="12.85546875" style="29" customWidth="1"/>
    <col min="10997" max="10997" width="37.5703125" style="29" bestFit="1" customWidth="1"/>
    <col min="10998" max="10998" width="13.85546875" style="29" customWidth="1"/>
    <col min="10999" max="10999" width="13" style="29" customWidth="1"/>
    <col min="11000" max="11000" width="13.42578125" style="29" customWidth="1"/>
    <col min="11001" max="11001" width="11.28515625" style="29" customWidth="1"/>
    <col min="11002" max="11002" width="20.85546875" style="29" bestFit="1" customWidth="1"/>
    <col min="11003" max="11003" width="13.28515625" style="29" customWidth="1"/>
    <col min="11004" max="11004" width="19.7109375" style="29" customWidth="1"/>
    <col min="11005" max="11005" width="11.5703125" style="29" customWidth="1"/>
    <col min="11006" max="11006" width="23.28515625" style="29" customWidth="1"/>
    <col min="11007" max="11007" width="15.5703125" style="29" customWidth="1"/>
    <col min="11008" max="11250" width="9.140625" style="29"/>
    <col min="11251" max="11251" width="3.7109375" style="29" customWidth="1"/>
    <col min="11252" max="11252" width="12.85546875" style="29" customWidth="1"/>
    <col min="11253" max="11253" width="37.5703125" style="29" bestFit="1" customWidth="1"/>
    <col min="11254" max="11254" width="13.85546875" style="29" customWidth="1"/>
    <col min="11255" max="11255" width="13" style="29" customWidth="1"/>
    <col min="11256" max="11256" width="13.42578125" style="29" customWidth="1"/>
    <col min="11257" max="11257" width="11.28515625" style="29" customWidth="1"/>
    <col min="11258" max="11258" width="20.85546875" style="29" bestFit="1" customWidth="1"/>
    <col min="11259" max="11259" width="13.28515625" style="29" customWidth="1"/>
    <col min="11260" max="11260" width="19.7109375" style="29" customWidth="1"/>
    <col min="11261" max="11261" width="11.5703125" style="29" customWidth="1"/>
    <col min="11262" max="11262" width="23.28515625" style="29" customWidth="1"/>
    <col min="11263" max="11263" width="15.5703125" style="29" customWidth="1"/>
    <col min="11264" max="11506" width="9.140625" style="29"/>
    <col min="11507" max="11507" width="3.7109375" style="29" customWidth="1"/>
    <col min="11508" max="11508" width="12.85546875" style="29" customWidth="1"/>
    <col min="11509" max="11509" width="37.5703125" style="29" bestFit="1" customWidth="1"/>
    <col min="11510" max="11510" width="13.85546875" style="29" customWidth="1"/>
    <col min="11511" max="11511" width="13" style="29" customWidth="1"/>
    <col min="11512" max="11512" width="13.42578125" style="29" customWidth="1"/>
    <col min="11513" max="11513" width="11.28515625" style="29" customWidth="1"/>
    <col min="11514" max="11514" width="20.85546875" style="29" bestFit="1" customWidth="1"/>
    <col min="11515" max="11515" width="13.28515625" style="29" customWidth="1"/>
    <col min="11516" max="11516" width="19.7109375" style="29" customWidth="1"/>
    <col min="11517" max="11517" width="11.5703125" style="29" customWidth="1"/>
    <col min="11518" max="11518" width="23.28515625" style="29" customWidth="1"/>
    <col min="11519" max="11519" width="15.5703125" style="29" customWidth="1"/>
    <col min="11520" max="11762" width="9.140625" style="29"/>
    <col min="11763" max="11763" width="3.7109375" style="29" customWidth="1"/>
    <col min="11764" max="11764" width="12.85546875" style="29" customWidth="1"/>
    <col min="11765" max="11765" width="37.5703125" style="29" bestFit="1" customWidth="1"/>
    <col min="11766" max="11766" width="13.85546875" style="29" customWidth="1"/>
    <col min="11767" max="11767" width="13" style="29" customWidth="1"/>
    <col min="11768" max="11768" width="13.42578125" style="29" customWidth="1"/>
    <col min="11769" max="11769" width="11.28515625" style="29" customWidth="1"/>
    <col min="11770" max="11770" width="20.85546875" style="29" bestFit="1" customWidth="1"/>
    <col min="11771" max="11771" width="13.28515625" style="29" customWidth="1"/>
    <col min="11772" max="11772" width="19.7109375" style="29" customWidth="1"/>
    <col min="11773" max="11773" width="11.5703125" style="29" customWidth="1"/>
    <col min="11774" max="11774" width="23.28515625" style="29" customWidth="1"/>
    <col min="11775" max="11775" width="15.5703125" style="29" customWidth="1"/>
    <col min="11776" max="12018" width="9.140625" style="29"/>
    <col min="12019" max="12019" width="3.7109375" style="29" customWidth="1"/>
    <col min="12020" max="12020" width="12.85546875" style="29" customWidth="1"/>
    <col min="12021" max="12021" width="37.5703125" style="29" bestFit="1" customWidth="1"/>
    <col min="12022" max="12022" width="13.85546875" style="29" customWidth="1"/>
    <col min="12023" max="12023" width="13" style="29" customWidth="1"/>
    <col min="12024" max="12024" width="13.42578125" style="29" customWidth="1"/>
    <col min="12025" max="12025" width="11.28515625" style="29" customWidth="1"/>
    <col min="12026" max="12026" width="20.85546875" style="29" bestFit="1" customWidth="1"/>
    <col min="12027" max="12027" width="13.28515625" style="29" customWidth="1"/>
    <col min="12028" max="12028" width="19.7109375" style="29" customWidth="1"/>
    <col min="12029" max="12029" width="11.5703125" style="29" customWidth="1"/>
    <col min="12030" max="12030" width="23.28515625" style="29" customWidth="1"/>
    <col min="12031" max="12031" width="15.5703125" style="29" customWidth="1"/>
    <col min="12032" max="12274" width="9.140625" style="29"/>
    <col min="12275" max="12275" width="3.7109375" style="29" customWidth="1"/>
    <col min="12276" max="12276" width="12.85546875" style="29" customWidth="1"/>
    <col min="12277" max="12277" width="37.5703125" style="29" bestFit="1" customWidth="1"/>
    <col min="12278" max="12278" width="13.85546875" style="29" customWidth="1"/>
    <col min="12279" max="12279" width="13" style="29" customWidth="1"/>
    <col min="12280" max="12280" width="13.42578125" style="29" customWidth="1"/>
    <col min="12281" max="12281" width="11.28515625" style="29" customWidth="1"/>
    <col min="12282" max="12282" width="20.85546875" style="29" bestFit="1" customWidth="1"/>
    <col min="12283" max="12283" width="13.28515625" style="29" customWidth="1"/>
    <col min="12284" max="12284" width="19.7109375" style="29" customWidth="1"/>
    <col min="12285" max="12285" width="11.5703125" style="29" customWidth="1"/>
    <col min="12286" max="12286" width="23.28515625" style="29" customWidth="1"/>
    <col min="12287" max="12287" width="15.5703125" style="29" customWidth="1"/>
    <col min="12288" max="12530" width="9.140625" style="29"/>
    <col min="12531" max="12531" width="3.7109375" style="29" customWidth="1"/>
    <col min="12532" max="12532" width="12.85546875" style="29" customWidth="1"/>
    <col min="12533" max="12533" width="37.5703125" style="29" bestFit="1" customWidth="1"/>
    <col min="12534" max="12534" width="13.85546875" style="29" customWidth="1"/>
    <col min="12535" max="12535" width="13" style="29" customWidth="1"/>
    <col min="12536" max="12536" width="13.42578125" style="29" customWidth="1"/>
    <col min="12537" max="12537" width="11.28515625" style="29" customWidth="1"/>
    <col min="12538" max="12538" width="20.85546875" style="29" bestFit="1" customWidth="1"/>
    <col min="12539" max="12539" width="13.28515625" style="29" customWidth="1"/>
    <col min="12540" max="12540" width="19.7109375" style="29" customWidth="1"/>
    <col min="12541" max="12541" width="11.5703125" style="29" customWidth="1"/>
    <col min="12542" max="12542" width="23.28515625" style="29" customWidth="1"/>
    <col min="12543" max="12543" width="15.5703125" style="29" customWidth="1"/>
    <col min="12544" max="12786" width="9.140625" style="29"/>
    <col min="12787" max="12787" width="3.7109375" style="29" customWidth="1"/>
    <col min="12788" max="12788" width="12.85546875" style="29" customWidth="1"/>
    <col min="12789" max="12789" width="37.5703125" style="29" bestFit="1" customWidth="1"/>
    <col min="12790" max="12790" width="13.85546875" style="29" customWidth="1"/>
    <col min="12791" max="12791" width="13" style="29" customWidth="1"/>
    <col min="12792" max="12792" width="13.42578125" style="29" customWidth="1"/>
    <col min="12793" max="12793" width="11.28515625" style="29" customWidth="1"/>
    <col min="12794" max="12794" width="20.85546875" style="29" bestFit="1" customWidth="1"/>
    <col min="12795" max="12795" width="13.28515625" style="29" customWidth="1"/>
    <col min="12796" max="12796" width="19.7109375" style="29" customWidth="1"/>
    <col min="12797" max="12797" width="11.5703125" style="29" customWidth="1"/>
    <col min="12798" max="12798" width="23.28515625" style="29" customWidth="1"/>
    <col min="12799" max="12799" width="15.5703125" style="29" customWidth="1"/>
    <col min="12800" max="13042" width="9.140625" style="29"/>
    <col min="13043" max="13043" width="3.7109375" style="29" customWidth="1"/>
    <col min="13044" max="13044" width="12.85546875" style="29" customWidth="1"/>
    <col min="13045" max="13045" width="37.5703125" style="29" bestFit="1" customWidth="1"/>
    <col min="13046" max="13046" width="13.85546875" style="29" customWidth="1"/>
    <col min="13047" max="13047" width="13" style="29" customWidth="1"/>
    <col min="13048" max="13048" width="13.42578125" style="29" customWidth="1"/>
    <col min="13049" max="13049" width="11.28515625" style="29" customWidth="1"/>
    <col min="13050" max="13050" width="20.85546875" style="29" bestFit="1" customWidth="1"/>
    <col min="13051" max="13051" width="13.28515625" style="29" customWidth="1"/>
    <col min="13052" max="13052" width="19.7109375" style="29" customWidth="1"/>
    <col min="13053" max="13053" width="11.5703125" style="29" customWidth="1"/>
    <col min="13054" max="13054" width="23.28515625" style="29" customWidth="1"/>
    <col min="13055" max="13055" width="15.5703125" style="29" customWidth="1"/>
    <col min="13056" max="13298" width="9.140625" style="29"/>
    <col min="13299" max="13299" width="3.7109375" style="29" customWidth="1"/>
    <col min="13300" max="13300" width="12.85546875" style="29" customWidth="1"/>
    <col min="13301" max="13301" width="37.5703125" style="29" bestFit="1" customWidth="1"/>
    <col min="13302" max="13302" width="13.85546875" style="29" customWidth="1"/>
    <col min="13303" max="13303" width="13" style="29" customWidth="1"/>
    <col min="13304" max="13304" width="13.42578125" style="29" customWidth="1"/>
    <col min="13305" max="13305" width="11.28515625" style="29" customWidth="1"/>
    <col min="13306" max="13306" width="20.85546875" style="29" bestFit="1" customWidth="1"/>
    <col min="13307" max="13307" width="13.28515625" style="29" customWidth="1"/>
    <col min="13308" max="13308" width="19.7109375" style="29" customWidth="1"/>
    <col min="13309" max="13309" width="11.5703125" style="29" customWidth="1"/>
    <col min="13310" max="13310" width="23.28515625" style="29" customWidth="1"/>
    <col min="13311" max="13311" width="15.5703125" style="29" customWidth="1"/>
    <col min="13312" max="13554" width="9.140625" style="29"/>
    <col min="13555" max="13555" width="3.7109375" style="29" customWidth="1"/>
    <col min="13556" max="13556" width="12.85546875" style="29" customWidth="1"/>
    <col min="13557" max="13557" width="37.5703125" style="29" bestFit="1" customWidth="1"/>
    <col min="13558" max="13558" width="13.85546875" style="29" customWidth="1"/>
    <col min="13559" max="13559" width="13" style="29" customWidth="1"/>
    <col min="13560" max="13560" width="13.42578125" style="29" customWidth="1"/>
    <col min="13561" max="13561" width="11.28515625" style="29" customWidth="1"/>
    <col min="13562" max="13562" width="20.85546875" style="29" bestFit="1" customWidth="1"/>
    <col min="13563" max="13563" width="13.28515625" style="29" customWidth="1"/>
    <col min="13564" max="13564" width="19.7109375" style="29" customWidth="1"/>
    <col min="13565" max="13565" width="11.5703125" style="29" customWidth="1"/>
    <col min="13566" max="13566" width="23.28515625" style="29" customWidth="1"/>
    <col min="13567" max="13567" width="15.5703125" style="29" customWidth="1"/>
    <col min="13568" max="13810" width="9.140625" style="29"/>
    <col min="13811" max="13811" width="3.7109375" style="29" customWidth="1"/>
    <col min="13812" max="13812" width="12.85546875" style="29" customWidth="1"/>
    <col min="13813" max="13813" width="37.5703125" style="29" bestFit="1" customWidth="1"/>
    <col min="13814" max="13814" width="13.85546875" style="29" customWidth="1"/>
    <col min="13815" max="13815" width="13" style="29" customWidth="1"/>
    <col min="13816" max="13816" width="13.42578125" style="29" customWidth="1"/>
    <col min="13817" max="13817" width="11.28515625" style="29" customWidth="1"/>
    <col min="13818" max="13818" width="20.85546875" style="29" bestFit="1" customWidth="1"/>
    <col min="13819" max="13819" width="13.28515625" style="29" customWidth="1"/>
    <col min="13820" max="13820" width="19.7109375" style="29" customWidth="1"/>
    <col min="13821" max="13821" width="11.5703125" style="29" customWidth="1"/>
    <col min="13822" max="13822" width="23.28515625" style="29" customWidth="1"/>
    <col min="13823" max="13823" width="15.5703125" style="29" customWidth="1"/>
    <col min="13824" max="14066" width="9.140625" style="29"/>
    <col min="14067" max="14067" width="3.7109375" style="29" customWidth="1"/>
    <col min="14068" max="14068" width="12.85546875" style="29" customWidth="1"/>
    <col min="14069" max="14069" width="37.5703125" style="29" bestFit="1" customWidth="1"/>
    <col min="14070" max="14070" width="13.85546875" style="29" customWidth="1"/>
    <col min="14071" max="14071" width="13" style="29" customWidth="1"/>
    <col min="14072" max="14072" width="13.42578125" style="29" customWidth="1"/>
    <col min="14073" max="14073" width="11.28515625" style="29" customWidth="1"/>
    <col min="14074" max="14074" width="20.85546875" style="29" bestFit="1" customWidth="1"/>
    <col min="14075" max="14075" width="13.28515625" style="29" customWidth="1"/>
    <col min="14076" max="14076" width="19.7109375" style="29" customWidth="1"/>
    <col min="14077" max="14077" width="11.5703125" style="29" customWidth="1"/>
    <col min="14078" max="14078" width="23.28515625" style="29" customWidth="1"/>
    <col min="14079" max="14079" width="15.5703125" style="29" customWidth="1"/>
    <col min="14080" max="14322" width="9.140625" style="29"/>
    <col min="14323" max="14323" width="3.7109375" style="29" customWidth="1"/>
    <col min="14324" max="14324" width="12.85546875" style="29" customWidth="1"/>
    <col min="14325" max="14325" width="37.5703125" style="29" bestFit="1" customWidth="1"/>
    <col min="14326" max="14326" width="13.85546875" style="29" customWidth="1"/>
    <col min="14327" max="14327" width="13" style="29" customWidth="1"/>
    <col min="14328" max="14328" width="13.42578125" style="29" customWidth="1"/>
    <col min="14329" max="14329" width="11.28515625" style="29" customWidth="1"/>
    <col min="14330" max="14330" width="20.85546875" style="29" bestFit="1" customWidth="1"/>
    <col min="14331" max="14331" width="13.28515625" style="29" customWidth="1"/>
    <col min="14332" max="14332" width="19.7109375" style="29" customWidth="1"/>
    <col min="14333" max="14333" width="11.5703125" style="29" customWidth="1"/>
    <col min="14334" max="14334" width="23.28515625" style="29" customWidth="1"/>
    <col min="14335" max="14335" width="15.5703125" style="29" customWidth="1"/>
    <col min="14336" max="14578" width="9.140625" style="29"/>
    <col min="14579" max="14579" width="3.7109375" style="29" customWidth="1"/>
    <col min="14580" max="14580" width="12.85546875" style="29" customWidth="1"/>
    <col min="14581" max="14581" width="37.5703125" style="29" bestFit="1" customWidth="1"/>
    <col min="14582" max="14582" width="13.85546875" style="29" customWidth="1"/>
    <col min="14583" max="14583" width="13" style="29" customWidth="1"/>
    <col min="14584" max="14584" width="13.42578125" style="29" customWidth="1"/>
    <col min="14585" max="14585" width="11.28515625" style="29" customWidth="1"/>
    <col min="14586" max="14586" width="20.85546875" style="29" bestFit="1" customWidth="1"/>
    <col min="14587" max="14587" width="13.28515625" style="29" customWidth="1"/>
    <col min="14588" max="14588" width="19.7109375" style="29" customWidth="1"/>
    <col min="14589" max="14589" width="11.5703125" style="29" customWidth="1"/>
    <col min="14590" max="14590" width="23.28515625" style="29" customWidth="1"/>
    <col min="14591" max="14591" width="15.5703125" style="29" customWidth="1"/>
    <col min="14592" max="14834" width="9.140625" style="29"/>
    <col min="14835" max="14835" width="3.7109375" style="29" customWidth="1"/>
    <col min="14836" max="14836" width="12.85546875" style="29" customWidth="1"/>
    <col min="14837" max="14837" width="37.5703125" style="29" bestFit="1" customWidth="1"/>
    <col min="14838" max="14838" width="13.85546875" style="29" customWidth="1"/>
    <col min="14839" max="14839" width="13" style="29" customWidth="1"/>
    <col min="14840" max="14840" width="13.42578125" style="29" customWidth="1"/>
    <col min="14841" max="14841" width="11.28515625" style="29" customWidth="1"/>
    <col min="14842" max="14842" width="20.85546875" style="29" bestFit="1" customWidth="1"/>
    <col min="14843" max="14843" width="13.28515625" style="29" customWidth="1"/>
    <col min="14844" max="14844" width="19.7109375" style="29" customWidth="1"/>
    <col min="14845" max="14845" width="11.5703125" style="29" customWidth="1"/>
    <col min="14846" max="14846" width="23.28515625" style="29" customWidth="1"/>
    <col min="14847" max="14847" width="15.5703125" style="29" customWidth="1"/>
    <col min="14848" max="15090" width="9.140625" style="29"/>
    <col min="15091" max="15091" width="3.7109375" style="29" customWidth="1"/>
    <col min="15092" max="15092" width="12.85546875" style="29" customWidth="1"/>
    <col min="15093" max="15093" width="37.5703125" style="29" bestFit="1" customWidth="1"/>
    <col min="15094" max="15094" width="13.85546875" style="29" customWidth="1"/>
    <col min="15095" max="15095" width="13" style="29" customWidth="1"/>
    <col min="15096" max="15096" width="13.42578125" style="29" customWidth="1"/>
    <col min="15097" max="15097" width="11.28515625" style="29" customWidth="1"/>
    <col min="15098" max="15098" width="20.85546875" style="29" bestFit="1" customWidth="1"/>
    <col min="15099" max="15099" width="13.28515625" style="29" customWidth="1"/>
    <col min="15100" max="15100" width="19.7109375" style="29" customWidth="1"/>
    <col min="15101" max="15101" width="11.5703125" style="29" customWidth="1"/>
    <col min="15102" max="15102" width="23.28515625" style="29" customWidth="1"/>
    <col min="15103" max="15103" width="15.5703125" style="29" customWidth="1"/>
    <col min="15104" max="15346" width="9.140625" style="29"/>
    <col min="15347" max="15347" width="3.7109375" style="29" customWidth="1"/>
    <col min="15348" max="15348" width="12.85546875" style="29" customWidth="1"/>
    <col min="15349" max="15349" width="37.5703125" style="29" bestFit="1" customWidth="1"/>
    <col min="15350" max="15350" width="13.85546875" style="29" customWidth="1"/>
    <col min="15351" max="15351" width="13" style="29" customWidth="1"/>
    <col min="15352" max="15352" width="13.42578125" style="29" customWidth="1"/>
    <col min="15353" max="15353" width="11.28515625" style="29" customWidth="1"/>
    <col min="15354" max="15354" width="20.85546875" style="29" bestFit="1" customWidth="1"/>
    <col min="15355" max="15355" width="13.28515625" style="29" customWidth="1"/>
    <col min="15356" max="15356" width="19.7109375" style="29" customWidth="1"/>
    <col min="15357" max="15357" width="11.5703125" style="29" customWidth="1"/>
    <col min="15358" max="15358" width="23.28515625" style="29" customWidth="1"/>
    <col min="15359" max="15359" width="15.5703125" style="29" customWidth="1"/>
    <col min="15360" max="15602" width="9.140625" style="29"/>
    <col min="15603" max="15603" width="3.7109375" style="29" customWidth="1"/>
    <col min="15604" max="15604" width="12.85546875" style="29" customWidth="1"/>
    <col min="15605" max="15605" width="37.5703125" style="29" bestFit="1" customWidth="1"/>
    <col min="15606" max="15606" width="13.85546875" style="29" customWidth="1"/>
    <col min="15607" max="15607" width="13" style="29" customWidth="1"/>
    <col min="15608" max="15608" width="13.42578125" style="29" customWidth="1"/>
    <col min="15609" max="15609" width="11.28515625" style="29" customWidth="1"/>
    <col min="15610" max="15610" width="20.85546875" style="29" bestFit="1" customWidth="1"/>
    <col min="15611" max="15611" width="13.28515625" style="29" customWidth="1"/>
    <col min="15612" max="15612" width="19.7109375" style="29" customWidth="1"/>
    <col min="15613" max="15613" width="11.5703125" style="29" customWidth="1"/>
    <col min="15614" max="15614" width="23.28515625" style="29" customWidth="1"/>
    <col min="15615" max="15615" width="15.5703125" style="29" customWidth="1"/>
    <col min="15616" max="15858" width="9.140625" style="29"/>
    <col min="15859" max="15859" width="3.7109375" style="29" customWidth="1"/>
    <col min="15860" max="15860" width="12.85546875" style="29" customWidth="1"/>
    <col min="15861" max="15861" width="37.5703125" style="29" bestFit="1" customWidth="1"/>
    <col min="15862" max="15862" width="13.85546875" style="29" customWidth="1"/>
    <col min="15863" max="15863" width="13" style="29" customWidth="1"/>
    <col min="15864" max="15864" width="13.42578125" style="29" customWidth="1"/>
    <col min="15865" max="15865" width="11.28515625" style="29" customWidth="1"/>
    <col min="15866" max="15866" width="20.85546875" style="29" bestFit="1" customWidth="1"/>
    <col min="15867" max="15867" width="13.28515625" style="29" customWidth="1"/>
    <col min="15868" max="15868" width="19.7109375" style="29" customWidth="1"/>
    <col min="15869" max="15869" width="11.5703125" style="29" customWidth="1"/>
    <col min="15870" max="15870" width="23.28515625" style="29" customWidth="1"/>
    <col min="15871" max="15871" width="15.5703125" style="29" customWidth="1"/>
    <col min="15872" max="16114" width="9.140625" style="29"/>
    <col min="16115" max="16115" width="3.7109375" style="29" customWidth="1"/>
    <col min="16116" max="16116" width="12.85546875" style="29" customWidth="1"/>
    <col min="16117" max="16117" width="37.5703125" style="29" bestFit="1" customWidth="1"/>
    <col min="16118" max="16118" width="13.85546875" style="29" customWidth="1"/>
    <col min="16119" max="16119" width="13" style="29" customWidth="1"/>
    <col min="16120" max="16120" width="13.42578125" style="29" customWidth="1"/>
    <col min="16121" max="16121" width="11.28515625" style="29" customWidth="1"/>
    <col min="16122" max="16122" width="20.85546875" style="29" bestFit="1" customWidth="1"/>
    <col min="16123" max="16123" width="13.28515625" style="29" customWidth="1"/>
    <col min="16124" max="16124" width="19.7109375" style="29" customWidth="1"/>
    <col min="16125" max="16125" width="11.5703125" style="29" customWidth="1"/>
    <col min="16126" max="16126" width="23.28515625" style="29" customWidth="1"/>
    <col min="16127" max="16127" width="15.5703125" style="29" customWidth="1"/>
    <col min="16128" max="16384" width="9.140625" style="29"/>
  </cols>
  <sheetData>
    <row r="1" spans="1:8" ht="15.75" x14ac:dyDescent="0.2">
      <c r="A1" s="220" t="s">
        <v>169</v>
      </c>
      <c r="B1" s="221"/>
      <c r="C1" s="221"/>
      <c r="D1" s="221"/>
      <c r="E1" s="221"/>
    </row>
    <row r="2" spans="1:8" x14ac:dyDescent="0.2">
      <c r="A2" s="12"/>
      <c r="B2" s="12"/>
      <c r="C2" s="46"/>
      <c r="D2" s="46"/>
      <c r="E2" s="159"/>
    </row>
    <row r="3" spans="1:8" s="44" customFormat="1" ht="22.5" x14ac:dyDescent="0.25">
      <c r="A3" s="42" t="s">
        <v>126</v>
      </c>
      <c r="B3" s="42" t="s">
        <v>58</v>
      </c>
      <c r="C3" s="42" t="s">
        <v>125</v>
      </c>
      <c r="D3" s="42" t="s">
        <v>164</v>
      </c>
      <c r="E3" s="43" t="s">
        <v>159</v>
      </c>
    </row>
    <row r="4" spans="1:8" ht="12.75" customHeight="1" x14ac:dyDescent="0.2">
      <c r="A4" s="222" t="s">
        <v>136</v>
      </c>
      <c r="B4" s="30" t="s">
        <v>50</v>
      </c>
      <c r="C4" s="223" t="s">
        <v>42</v>
      </c>
      <c r="D4" s="215">
        <f>E4-120</f>
        <v>42780</v>
      </c>
      <c r="E4" s="225">
        <v>42900</v>
      </c>
      <c r="G4" s="45" t="e">
        <f>E4+E6+E15+E16+E23+E26+E29+E34+E38+E42+E45+#REF!+#REF!+#REF!+E68+E71+E73+E74</f>
        <v>#REF!</v>
      </c>
      <c r="H4" s="45">
        <f>E4+E6+E15+E16+E23+E26+E29+E34+E38+E42+E45+E51+E56+E63+E68+E71+E73+E74</f>
        <v>483640</v>
      </c>
    </row>
    <row r="5" spans="1:8" ht="12.75" customHeight="1" x14ac:dyDescent="0.2">
      <c r="A5" s="222"/>
      <c r="B5" s="30" t="s">
        <v>51</v>
      </c>
      <c r="C5" s="224"/>
      <c r="D5" s="216"/>
      <c r="E5" s="226"/>
    </row>
    <row r="6" spans="1:8" ht="12.75" customHeight="1" x14ac:dyDescent="0.2">
      <c r="A6" s="222"/>
      <c r="B6" s="30" t="s">
        <v>52</v>
      </c>
      <c r="C6" s="249" t="s">
        <v>160</v>
      </c>
      <c r="D6" s="212">
        <f>E6-120</f>
        <v>108380</v>
      </c>
      <c r="E6" s="225">
        <v>108500</v>
      </c>
      <c r="G6" s="29" t="e">
        <f>G4*2</f>
        <v>#REF!</v>
      </c>
      <c r="H6" s="29">
        <f>H4*9</f>
        <v>4352760</v>
      </c>
    </row>
    <row r="7" spans="1:8" ht="12.75" customHeight="1" x14ac:dyDescent="0.2">
      <c r="A7" s="222"/>
      <c r="B7" s="30" t="s">
        <v>53</v>
      </c>
      <c r="C7" s="249"/>
      <c r="D7" s="213"/>
      <c r="E7" s="227"/>
    </row>
    <row r="8" spans="1:8" ht="12.75" customHeight="1" x14ac:dyDescent="0.2">
      <c r="A8" s="222"/>
      <c r="B8" s="30" t="s">
        <v>54</v>
      </c>
      <c r="C8" s="249"/>
      <c r="D8" s="213"/>
      <c r="E8" s="227"/>
      <c r="F8" s="45"/>
      <c r="G8" s="96" t="e">
        <f>G6+H6+H8</f>
        <v>#REF!</v>
      </c>
      <c r="H8" s="29">
        <v>243380</v>
      </c>
    </row>
    <row r="9" spans="1:8" ht="12.75" customHeight="1" x14ac:dyDescent="0.2">
      <c r="A9" s="222"/>
      <c r="B9" s="30" t="s">
        <v>55</v>
      </c>
      <c r="C9" s="249"/>
      <c r="D9" s="213"/>
      <c r="E9" s="227"/>
    </row>
    <row r="10" spans="1:8" ht="12.75" customHeight="1" x14ac:dyDescent="0.2">
      <c r="A10" s="222"/>
      <c r="B10" s="30" t="s">
        <v>56</v>
      </c>
      <c r="C10" s="249"/>
      <c r="D10" s="213"/>
      <c r="E10" s="227"/>
      <c r="G10" s="45">
        <v>5570700</v>
      </c>
      <c r="H10" s="97" t="e">
        <f>G10-G8</f>
        <v>#REF!</v>
      </c>
    </row>
    <row r="11" spans="1:8" ht="12.75" customHeight="1" x14ac:dyDescent="0.2">
      <c r="A11" s="222"/>
      <c r="B11" s="30" t="s">
        <v>57</v>
      </c>
      <c r="C11" s="249"/>
      <c r="D11" s="213"/>
      <c r="E11" s="227"/>
    </row>
    <row r="12" spans="1:8" ht="12.75" customHeight="1" x14ac:dyDescent="0.2">
      <c r="A12" s="222"/>
      <c r="B12" s="30" t="s">
        <v>166</v>
      </c>
      <c r="C12" s="249"/>
      <c r="D12" s="213"/>
      <c r="E12" s="227"/>
    </row>
    <row r="13" spans="1:8" ht="12.75" customHeight="1" x14ac:dyDescent="0.2">
      <c r="A13" s="222"/>
      <c r="B13" s="30" t="s">
        <v>165</v>
      </c>
      <c r="C13" s="249"/>
      <c r="D13" s="213"/>
      <c r="E13" s="227"/>
    </row>
    <row r="14" spans="1:8" ht="12.75" customHeight="1" x14ac:dyDescent="0.2">
      <c r="A14" s="222"/>
      <c r="B14" s="156" t="s">
        <v>80</v>
      </c>
      <c r="C14" s="249"/>
      <c r="D14" s="214"/>
      <c r="E14" s="226"/>
    </row>
    <row r="15" spans="1:8" ht="38.25" x14ac:dyDescent="0.2">
      <c r="A15" s="222"/>
      <c r="B15" s="32" t="s">
        <v>59</v>
      </c>
      <c r="C15" s="26" t="s">
        <v>60</v>
      </c>
      <c r="D15" s="107">
        <f>E15+1920</f>
        <v>3520</v>
      </c>
      <c r="E15" s="154">
        <v>1600</v>
      </c>
    </row>
    <row r="16" spans="1:8" ht="30" x14ac:dyDescent="0.2">
      <c r="A16" s="235" t="s">
        <v>110</v>
      </c>
      <c r="B16" s="167" t="s">
        <v>143</v>
      </c>
      <c r="C16" s="232" t="s">
        <v>43</v>
      </c>
      <c r="D16" s="212">
        <f>E16-120</f>
        <v>54780</v>
      </c>
      <c r="E16" s="228">
        <v>54900</v>
      </c>
    </row>
    <row r="17" spans="1:8" x14ac:dyDescent="0.2">
      <c r="A17" s="213"/>
      <c r="B17" s="167" t="s">
        <v>62</v>
      </c>
      <c r="C17" s="236"/>
      <c r="D17" s="213"/>
      <c r="E17" s="234"/>
    </row>
    <row r="18" spans="1:8" x14ac:dyDescent="0.2">
      <c r="A18" s="213"/>
      <c r="B18" s="167" t="s">
        <v>63</v>
      </c>
      <c r="C18" s="236"/>
      <c r="D18" s="213"/>
      <c r="E18" s="234"/>
    </row>
    <row r="19" spans="1:8" x14ac:dyDescent="0.2">
      <c r="A19" s="213"/>
      <c r="B19" s="167" t="s">
        <v>64</v>
      </c>
      <c r="C19" s="236"/>
      <c r="D19" s="213"/>
      <c r="E19" s="234"/>
    </row>
    <row r="20" spans="1:8" ht="30" x14ac:dyDescent="0.2">
      <c r="A20" s="213"/>
      <c r="B20" s="167" t="s">
        <v>65</v>
      </c>
      <c r="C20" s="236"/>
      <c r="D20" s="213"/>
      <c r="E20" s="234"/>
    </row>
    <row r="21" spans="1:8" x14ac:dyDescent="0.2">
      <c r="A21" s="213"/>
      <c r="B21" s="167" t="s">
        <v>66</v>
      </c>
      <c r="C21" s="236"/>
      <c r="D21" s="213"/>
      <c r="E21" s="234"/>
    </row>
    <row r="22" spans="1:8" x14ac:dyDescent="0.2">
      <c r="A22" s="214"/>
      <c r="B22" s="167" t="s">
        <v>67</v>
      </c>
      <c r="C22" s="233"/>
      <c r="D22" s="214"/>
      <c r="E22" s="229"/>
    </row>
    <row r="23" spans="1:8" ht="30" x14ac:dyDescent="0.2">
      <c r="A23" s="235" t="s">
        <v>111</v>
      </c>
      <c r="B23" s="167" t="s">
        <v>135</v>
      </c>
      <c r="C23" s="232" t="s">
        <v>71</v>
      </c>
      <c r="D23" s="212">
        <f>E23-120</f>
        <v>27180</v>
      </c>
      <c r="E23" s="228">
        <v>27300</v>
      </c>
    </row>
    <row r="24" spans="1:8" x14ac:dyDescent="0.2">
      <c r="A24" s="213"/>
      <c r="B24" s="167" t="s">
        <v>68</v>
      </c>
      <c r="C24" s="236"/>
      <c r="D24" s="213"/>
      <c r="E24" s="234"/>
    </row>
    <row r="25" spans="1:8" x14ac:dyDescent="0.2">
      <c r="A25" s="213"/>
      <c r="B25" s="167" t="s">
        <v>69</v>
      </c>
      <c r="C25" s="233"/>
      <c r="D25" s="214"/>
      <c r="E25" s="229"/>
    </row>
    <row r="26" spans="1:8" x14ac:dyDescent="0.2">
      <c r="A26" s="214"/>
      <c r="B26" s="167" t="s">
        <v>70</v>
      </c>
      <c r="C26" s="232" t="s">
        <v>78</v>
      </c>
      <c r="D26" s="212">
        <f>E26-120</f>
        <v>11180</v>
      </c>
      <c r="E26" s="228">
        <v>11300</v>
      </c>
    </row>
    <row r="27" spans="1:8" ht="25.5" x14ac:dyDescent="0.2">
      <c r="A27" s="155" t="s">
        <v>112</v>
      </c>
      <c r="B27" s="168" t="s">
        <v>144</v>
      </c>
      <c r="C27" s="236"/>
      <c r="D27" s="213"/>
      <c r="E27" s="234"/>
      <c r="G27" s="45"/>
      <c r="H27" s="45"/>
    </row>
    <row r="28" spans="1:8" ht="12.75" customHeight="1" x14ac:dyDescent="0.2">
      <c r="A28" s="222" t="s">
        <v>113</v>
      </c>
      <c r="B28" s="30" t="s">
        <v>76</v>
      </c>
      <c r="C28" s="233"/>
      <c r="D28" s="214"/>
      <c r="E28" s="229"/>
    </row>
    <row r="29" spans="1:8" ht="12.75" customHeight="1" x14ac:dyDescent="0.2">
      <c r="A29" s="222"/>
      <c r="B29" s="27" t="s">
        <v>72</v>
      </c>
      <c r="C29" s="232" t="s">
        <v>233</v>
      </c>
      <c r="D29" s="212">
        <f>E29-120</f>
        <v>17400</v>
      </c>
      <c r="E29" s="243">
        <v>17520</v>
      </c>
    </row>
    <row r="30" spans="1:8" x14ac:dyDescent="0.2">
      <c r="A30" s="222"/>
      <c r="B30" s="167" t="s">
        <v>73</v>
      </c>
      <c r="C30" s="236"/>
      <c r="D30" s="213"/>
      <c r="E30" s="244"/>
    </row>
    <row r="31" spans="1:8" x14ac:dyDescent="0.2">
      <c r="A31" s="222"/>
      <c r="B31" s="167" t="s">
        <v>74</v>
      </c>
      <c r="C31" s="236"/>
      <c r="D31" s="213"/>
      <c r="E31" s="244"/>
    </row>
    <row r="32" spans="1:8" x14ac:dyDescent="0.2">
      <c r="A32" s="222"/>
      <c r="B32" s="167" t="s">
        <v>75</v>
      </c>
      <c r="C32" s="236"/>
      <c r="D32" s="213"/>
      <c r="E32" s="244"/>
    </row>
    <row r="33" spans="1:5" ht="30" x14ac:dyDescent="0.2">
      <c r="A33" s="222"/>
      <c r="B33" s="167" t="s">
        <v>77</v>
      </c>
      <c r="C33" s="233"/>
      <c r="D33" s="214"/>
      <c r="E33" s="245"/>
    </row>
    <row r="34" spans="1:5" ht="12.75" customHeight="1" x14ac:dyDescent="0.2">
      <c r="A34" s="235" t="s">
        <v>114</v>
      </c>
      <c r="B34" s="30" t="s">
        <v>81</v>
      </c>
      <c r="C34" s="232" t="s">
        <v>85</v>
      </c>
      <c r="D34" s="212">
        <f>E34-120</f>
        <v>12120</v>
      </c>
      <c r="E34" s="237">
        <v>12240</v>
      </c>
    </row>
    <row r="35" spans="1:5" ht="12.75" customHeight="1" x14ac:dyDescent="0.2">
      <c r="A35" s="213"/>
      <c r="B35" s="30" t="s">
        <v>82</v>
      </c>
      <c r="C35" s="236"/>
      <c r="D35" s="213"/>
      <c r="E35" s="238"/>
    </row>
    <row r="36" spans="1:5" ht="12.75" customHeight="1" x14ac:dyDescent="0.2">
      <c r="A36" s="213"/>
      <c r="B36" s="30" t="s">
        <v>83</v>
      </c>
      <c r="C36" s="236"/>
      <c r="D36" s="213"/>
      <c r="E36" s="238"/>
    </row>
    <row r="37" spans="1:5" ht="12.75" customHeight="1" x14ac:dyDescent="0.2">
      <c r="A37" s="214"/>
      <c r="B37" s="30" t="s">
        <v>84</v>
      </c>
      <c r="C37" s="233"/>
      <c r="D37" s="214"/>
      <c r="E37" s="239"/>
    </row>
    <row r="38" spans="1:5" ht="12.75" customHeight="1" x14ac:dyDescent="0.2">
      <c r="A38" s="235" t="s">
        <v>109</v>
      </c>
      <c r="B38" s="30" t="s">
        <v>86</v>
      </c>
      <c r="C38" s="232" t="s">
        <v>93</v>
      </c>
      <c r="D38" s="212">
        <f>E38-120</f>
        <v>22400</v>
      </c>
      <c r="E38" s="237">
        <v>22520</v>
      </c>
    </row>
    <row r="39" spans="1:5" ht="12.75" customHeight="1" x14ac:dyDescent="0.2">
      <c r="A39" s="213"/>
      <c r="B39" s="30" t="s">
        <v>87</v>
      </c>
      <c r="C39" s="236"/>
      <c r="D39" s="213"/>
      <c r="E39" s="238"/>
    </row>
    <row r="40" spans="1:5" ht="12.75" customHeight="1" x14ac:dyDescent="0.2">
      <c r="A40" s="213"/>
      <c r="B40" s="30" t="s">
        <v>88</v>
      </c>
      <c r="C40" s="236"/>
      <c r="D40" s="213"/>
      <c r="E40" s="238"/>
    </row>
    <row r="41" spans="1:5" ht="12.75" customHeight="1" x14ac:dyDescent="0.2">
      <c r="A41" s="213"/>
      <c r="B41" s="30" t="s">
        <v>89</v>
      </c>
      <c r="C41" s="233"/>
      <c r="D41" s="214"/>
      <c r="E41" s="239"/>
    </row>
    <row r="42" spans="1:5" ht="12.75" customHeight="1" x14ac:dyDescent="0.2">
      <c r="A42" s="213"/>
      <c r="B42" s="30" t="s">
        <v>90</v>
      </c>
      <c r="C42" s="232" t="s">
        <v>94</v>
      </c>
      <c r="D42" s="212">
        <f>E42-120</f>
        <v>11900</v>
      </c>
      <c r="E42" s="228">
        <v>12020</v>
      </c>
    </row>
    <row r="43" spans="1:5" ht="12.75" customHeight="1" x14ac:dyDescent="0.2">
      <c r="A43" s="213"/>
      <c r="B43" s="30" t="s">
        <v>91</v>
      </c>
      <c r="C43" s="236"/>
      <c r="D43" s="213"/>
      <c r="E43" s="234"/>
    </row>
    <row r="44" spans="1:5" ht="25.5" x14ac:dyDescent="0.2">
      <c r="A44" s="214"/>
      <c r="B44" s="30" t="s">
        <v>92</v>
      </c>
      <c r="C44" s="233"/>
      <c r="D44" s="214"/>
      <c r="E44" s="229"/>
    </row>
    <row r="45" spans="1:5" ht="12.75" customHeight="1" x14ac:dyDescent="0.2">
      <c r="A45" s="222" t="s">
        <v>112</v>
      </c>
      <c r="B45" s="30" t="s">
        <v>97</v>
      </c>
      <c r="C45" s="232" t="s">
        <v>41</v>
      </c>
      <c r="D45" s="212">
        <f>E45-120</f>
        <v>28110</v>
      </c>
      <c r="E45" s="228">
        <v>28230</v>
      </c>
    </row>
    <row r="46" spans="1:5" ht="12.75" customHeight="1" x14ac:dyDescent="0.2">
      <c r="A46" s="222"/>
      <c r="B46" s="27" t="s">
        <v>144</v>
      </c>
      <c r="C46" s="236"/>
      <c r="D46" s="213"/>
      <c r="E46" s="234"/>
    </row>
    <row r="47" spans="1:5" ht="12.75" customHeight="1" x14ac:dyDescent="0.2">
      <c r="A47" s="222"/>
      <c r="B47" s="30" t="s">
        <v>100</v>
      </c>
      <c r="C47" s="236"/>
      <c r="D47" s="213"/>
      <c r="E47" s="234"/>
    </row>
    <row r="48" spans="1:5" ht="12.75" customHeight="1" x14ac:dyDescent="0.2">
      <c r="A48" s="222"/>
      <c r="B48" s="30" t="s">
        <v>102</v>
      </c>
      <c r="C48" s="236"/>
      <c r="D48" s="213"/>
      <c r="E48" s="234"/>
    </row>
    <row r="49" spans="1:7" ht="12.75" customHeight="1" x14ac:dyDescent="0.2">
      <c r="A49" s="222"/>
      <c r="B49" s="30" t="s">
        <v>96</v>
      </c>
      <c r="C49" s="236"/>
      <c r="D49" s="213"/>
      <c r="E49" s="234"/>
    </row>
    <row r="50" spans="1:7" ht="12.75" customHeight="1" x14ac:dyDescent="0.2">
      <c r="A50" s="222"/>
      <c r="B50" s="30" t="s">
        <v>99</v>
      </c>
      <c r="C50" s="233"/>
      <c r="D50" s="214"/>
      <c r="E50" s="229"/>
    </row>
    <row r="51" spans="1:7" ht="12.75" customHeight="1" x14ac:dyDescent="0.2">
      <c r="A51" s="222"/>
      <c r="B51" s="156" t="s">
        <v>103</v>
      </c>
      <c r="C51" s="232" t="s">
        <v>206</v>
      </c>
      <c r="D51" s="212">
        <f>E51-120</f>
        <v>11500</v>
      </c>
      <c r="E51" s="228">
        <v>11620</v>
      </c>
    </row>
    <row r="52" spans="1:7" ht="12.75" customHeight="1" x14ac:dyDescent="0.2">
      <c r="A52" s="222"/>
      <c r="B52" s="30" t="s">
        <v>167</v>
      </c>
      <c r="C52" s="236"/>
      <c r="D52" s="213"/>
      <c r="E52" s="234"/>
    </row>
    <row r="53" spans="1:7" ht="12.75" customHeight="1" x14ac:dyDescent="0.2">
      <c r="A53" s="222" t="s">
        <v>104</v>
      </c>
      <c r="B53" s="30" t="s">
        <v>108</v>
      </c>
      <c r="C53" s="236"/>
      <c r="D53" s="213"/>
      <c r="E53" s="234"/>
    </row>
    <row r="54" spans="1:7" ht="12.75" customHeight="1" x14ac:dyDescent="0.2">
      <c r="A54" s="222"/>
      <c r="B54" s="30" t="s">
        <v>106</v>
      </c>
      <c r="C54" s="236"/>
      <c r="D54" s="213"/>
      <c r="E54" s="234"/>
      <c r="G54" s="45"/>
    </row>
    <row r="55" spans="1:7" ht="38.25" x14ac:dyDescent="0.2">
      <c r="A55" s="155" t="s">
        <v>124</v>
      </c>
      <c r="B55" s="156" t="s">
        <v>119</v>
      </c>
      <c r="C55" s="233"/>
      <c r="D55" s="214"/>
      <c r="E55" s="229"/>
    </row>
    <row r="56" spans="1:7" ht="25.5" x14ac:dyDescent="0.2">
      <c r="A56" s="235" t="s">
        <v>112</v>
      </c>
      <c r="B56" s="79" t="s">
        <v>134</v>
      </c>
      <c r="C56" s="249" t="s">
        <v>179</v>
      </c>
      <c r="D56" s="212">
        <f>E56</f>
        <v>36490</v>
      </c>
      <c r="E56" s="246">
        <v>36490</v>
      </c>
    </row>
    <row r="57" spans="1:7" ht="12.75" customHeight="1" x14ac:dyDescent="0.2">
      <c r="A57" s="213"/>
      <c r="B57" s="79" t="s">
        <v>95</v>
      </c>
      <c r="C57" s="249"/>
      <c r="D57" s="213"/>
      <c r="E57" s="246"/>
    </row>
    <row r="58" spans="1:7" ht="12.75" customHeight="1" x14ac:dyDescent="0.2">
      <c r="A58" s="213"/>
      <c r="B58" s="79" t="s">
        <v>168</v>
      </c>
      <c r="C58" s="249"/>
      <c r="D58" s="213"/>
      <c r="E58" s="246"/>
    </row>
    <row r="59" spans="1:7" ht="12.75" customHeight="1" x14ac:dyDescent="0.2">
      <c r="A59" s="213"/>
      <c r="B59" s="79" t="s">
        <v>98</v>
      </c>
      <c r="C59" s="249"/>
      <c r="D59" s="213"/>
      <c r="E59" s="246"/>
    </row>
    <row r="60" spans="1:7" ht="12.75" customHeight="1" x14ac:dyDescent="0.2">
      <c r="A60" s="214"/>
      <c r="B60" s="79" t="s">
        <v>101</v>
      </c>
      <c r="C60" s="249"/>
      <c r="D60" s="213"/>
      <c r="E60" s="246"/>
    </row>
    <row r="61" spans="1:7" ht="36.75" customHeight="1" x14ac:dyDescent="0.2">
      <c r="A61" s="247" t="s">
        <v>104</v>
      </c>
      <c r="B61" s="95" t="s">
        <v>105</v>
      </c>
      <c r="C61" s="249"/>
      <c r="D61" s="213"/>
      <c r="E61" s="246"/>
    </row>
    <row r="62" spans="1:7" ht="33" customHeight="1" x14ac:dyDescent="0.2">
      <c r="A62" s="247"/>
      <c r="B62" s="95" t="s">
        <v>107</v>
      </c>
      <c r="C62" s="249"/>
      <c r="D62" s="214"/>
      <c r="E62" s="246"/>
    </row>
    <row r="63" spans="1:7" ht="12.75" x14ac:dyDescent="0.2">
      <c r="A63" s="222"/>
      <c r="B63" s="12" t="s">
        <v>116</v>
      </c>
      <c r="C63" s="232" t="s">
        <v>236</v>
      </c>
      <c r="D63" s="212">
        <f>E63</f>
        <v>20200</v>
      </c>
      <c r="E63" s="228">
        <v>20200</v>
      </c>
    </row>
    <row r="64" spans="1:7" ht="12.75" customHeight="1" x14ac:dyDescent="0.2">
      <c r="A64" s="222"/>
      <c r="B64" s="12" t="s">
        <v>118</v>
      </c>
      <c r="C64" s="236"/>
      <c r="D64" s="213"/>
      <c r="E64" s="234"/>
      <c r="G64" s="45"/>
    </row>
    <row r="65" spans="1:6" ht="12.75" customHeight="1" x14ac:dyDescent="0.2">
      <c r="A65" s="222"/>
      <c r="B65" s="12" t="s">
        <v>115</v>
      </c>
      <c r="C65" s="236"/>
      <c r="D65" s="213"/>
      <c r="E65" s="234"/>
    </row>
    <row r="66" spans="1:6" ht="12.75" customHeight="1" x14ac:dyDescent="0.2">
      <c r="A66" s="222"/>
      <c r="B66" s="12" t="s">
        <v>121</v>
      </c>
      <c r="C66" s="236"/>
      <c r="D66" s="213"/>
      <c r="E66" s="234"/>
    </row>
    <row r="67" spans="1:6" ht="12.75" customHeight="1" x14ac:dyDescent="0.2">
      <c r="A67" s="222"/>
      <c r="B67" s="12" t="s">
        <v>122</v>
      </c>
      <c r="C67" s="233"/>
      <c r="D67" s="214"/>
      <c r="E67" s="229"/>
    </row>
    <row r="68" spans="1:6" ht="12.75" customHeight="1" x14ac:dyDescent="0.2">
      <c r="A68" s="222"/>
      <c r="B68" s="12" t="s">
        <v>117</v>
      </c>
      <c r="C68" s="236" t="s">
        <v>41</v>
      </c>
      <c r="D68" s="212">
        <f>E68-120</f>
        <v>18180</v>
      </c>
      <c r="E68" s="228">
        <v>18300</v>
      </c>
    </row>
    <row r="69" spans="1:6" ht="12.75" customHeight="1" x14ac:dyDescent="0.2">
      <c r="A69" s="222"/>
      <c r="B69" s="12" t="s">
        <v>120</v>
      </c>
      <c r="C69" s="236"/>
      <c r="D69" s="213"/>
      <c r="E69" s="234"/>
    </row>
    <row r="70" spans="1:6" ht="12.75" customHeight="1" x14ac:dyDescent="0.2">
      <c r="A70" s="222"/>
      <c r="B70" s="12" t="s">
        <v>123</v>
      </c>
      <c r="C70" s="233"/>
      <c r="D70" s="214"/>
      <c r="E70" s="229"/>
    </row>
    <row r="71" spans="1:6" ht="12.75" customHeight="1" x14ac:dyDescent="0.2">
      <c r="A71" s="235" t="s">
        <v>131</v>
      </c>
      <c r="B71" s="12" t="s">
        <v>127</v>
      </c>
      <c r="C71" s="232" t="s">
        <v>130</v>
      </c>
      <c r="D71" s="212">
        <f>E71-120</f>
        <v>10480</v>
      </c>
      <c r="E71" s="228">
        <v>10600</v>
      </c>
    </row>
    <row r="72" spans="1:6" ht="12.75" customHeight="1" x14ac:dyDescent="0.2">
      <c r="A72" s="213"/>
      <c r="B72" s="12" t="s">
        <v>129</v>
      </c>
      <c r="C72" s="233"/>
      <c r="D72" s="214"/>
      <c r="E72" s="234"/>
    </row>
    <row r="73" spans="1:6" ht="38.25" x14ac:dyDescent="0.2">
      <c r="A73" s="214"/>
      <c r="B73" s="35" t="s">
        <v>128</v>
      </c>
      <c r="C73" s="156" t="s">
        <v>132</v>
      </c>
      <c r="D73" s="158">
        <f>E73</f>
        <v>4100</v>
      </c>
      <c r="E73" s="39">
        <v>4100</v>
      </c>
    </row>
    <row r="74" spans="1:6" ht="25.5" x14ac:dyDescent="0.2">
      <c r="A74" s="235" t="s">
        <v>142</v>
      </c>
      <c r="B74" s="12" t="s">
        <v>133</v>
      </c>
      <c r="C74" s="232" t="s">
        <v>177</v>
      </c>
      <c r="D74" s="212">
        <f>E74-120</f>
        <v>43180</v>
      </c>
      <c r="E74" s="237">
        <v>43300</v>
      </c>
    </row>
    <row r="75" spans="1:6" ht="12.75" customHeight="1" x14ac:dyDescent="0.2">
      <c r="A75" s="213"/>
      <c r="B75" s="12" t="s">
        <v>137</v>
      </c>
      <c r="C75" s="236"/>
      <c r="D75" s="213"/>
      <c r="E75" s="238"/>
    </row>
    <row r="76" spans="1:6" ht="12.75" customHeight="1" x14ac:dyDescent="0.2">
      <c r="A76" s="213"/>
      <c r="B76" s="12" t="s">
        <v>138</v>
      </c>
      <c r="C76" s="236"/>
      <c r="D76" s="213"/>
      <c r="E76" s="238"/>
    </row>
    <row r="77" spans="1:6" ht="12.75" customHeight="1" x14ac:dyDescent="0.2">
      <c r="A77" s="213"/>
      <c r="B77" s="12" t="s">
        <v>139</v>
      </c>
      <c r="C77" s="236"/>
      <c r="D77" s="213"/>
      <c r="E77" s="238"/>
    </row>
    <row r="78" spans="1:6" ht="12.75" customHeight="1" x14ac:dyDescent="0.2">
      <c r="A78" s="213"/>
      <c r="B78" s="12" t="s">
        <v>140</v>
      </c>
      <c r="C78" s="236"/>
      <c r="D78" s="213"/>
      <c r="E78" s="238"/>
    </row>
    <row r="79" spans="1:6" ht="12.75" customHeight="1" x14ac:dyDescent="0.2">
      <c r="A79" s="214"/>
      <c r="B79" s="12" t="s">
        <v>141</v>
      </c>
      <c r="C79" s="233"/>
      <c r="D79" s="214"/>
      <c r="E79" s="239"/>
    </row>
    <row r="80" spans="1:6" x14ac:dyDescent="0.3">
      <c r="D80" s="45">
        <f>D4+D6+D15+D16+D23+D26+D29+D34+D38+D42+D45+D51+D56+D63+D68+D71+D73+D74</f>
        <v>483880</v>
      </c>
      <c r="E80" s="41"/>
      <c r="F80" s="45"/>
    </row>
    <row r="81" spans="1:10" x14ac:dyDescent="0.2">
      <c r="D81" s="110"/>
      <c r="F81" s="45"/>
    </row>
    <row r="82" spans="1:10" x14ac:dyDescent="0.2">
      <c r="D82" s="109"/>
      <c r="F82" s="45"/>
    </row>
    <row r="83" spans="1:10" x14ac:dyDescent="0.2">
      <c r="A83" s="29"/>
      <c r="C83" s="47"/>
      <c r="D83" s="47"/>
    </row>
    <row r="84" spans="1:10" x14ac:dyDescent="0.2">
      <c r="A84" s="29"/>
      <c r="C84" s="77"/>
      <c r="D84" s="47"/>
      <c r="J84" s="96"/>
    </row>
    <row r="85" spans="1:10" x14ac:dyDescent="0.2">
      <c r="A85" s="29"/>
      <c r="C85" s="47"/>
      <c r="D85" s="47"/>
      <c r="E85" s="71"/>
    </row>
    <row r="86" spans="1:10" x14ac:dyDescent="0.2">
      <c r="C86" s="111"/>
      <c r="J86" s="96"/>
    </row>
    <row r="87" spans="1:10" x14ac:dyDescent="0.2">
      <c r="A87" s="29"/>
      <c r="C87" s="112"/>
      <c r="J87" s="97"/>
    </row>
    <row r="88" spans="1:10" x14ac:dyDescent="0.2">
      <c r="C88" s="112"/>
    </row>
  </sheetData>
  <mergeCells count="62">
    <mergeCell ref="C71:C72"/>
    <mergeCell ref="D71:D72"/>
    <mergeCell ref="E71:E72"/>
    <mergeCell ref="A74:A79"/>
    <mergeCell ref="C74:C79"/>
    <mergeCell ref="D74:D79"/>
    <mergeCell ref="E74:E79"/>
    <mergeCell ref="A71:A73"/>
    <mergeCell ref="E56:E62"/>
    <mergeCell ref="A61:A62"/>
    <mergeCell ref="C63:C67"/>
    <mergeCell ref="D63:D67"/>
    <mergeCell ref="E63:E67"/>
    <mergeCell ref="A63:A70"/>
    <mergeCell ref="C68:C70"/>
    <mergeCell ref="D68:D70"/>
    <mergeCell ref="E68:E70"/>
    <mergeCell ref="E34:E37"/>
    <mergeCell ref="E42:E44"/>
    <mergeCell ref="A45:A52"/>
    <mergeCell ref="C45:C50"/>
    <mergeCell ref="D45:D50"/>
    <mergeCell ref="E45:E50"/>
    <mergeCell ref="C51:C55"/>
    <mergeCell ref="D51:D55"/>
    <mergeCell ref="E51:E55"/>
    <mergeCell ref="A53:A54"/>
    <mergeCell ref="A38:A44"/>
    <mergeCell ref="C38:C41"/>
    <mergeCell ref="D38:D41"/>
    <mergeCell ref="E38:E41"/>
    <mergeCell ref="C42:C44"/>
    <mergeCell ref="D42:D44"/>
    <mergeCell ref="E16:E22"/>
    <mergeCell ref="A23:A26"/>
    <mergeCell ref="C23:C25"/>
    <mergeCell ref="D23:D25"/>
    <mergeCell ref="E23:E25"/>
    <mergeCell ref="C26:C28"/>
    <mergeCell ref="D26:D28"/>
    <mergeCell ref="E26:E28"/>
    <mergeCell ref="A28:A33"/>
    <mergeCell ref="C29:C33"/>
    <mergeCell ref="E29:E33"/>
    <mergeCell ref="D29:D33"/>
    <mergeCell ref="A16:A22"/>
    <mergeCell ref="C16:C22"/>
    <mergeCell ref="D16:D22"/>
    <mergeCell ref="A1:E1"/>
    <mergeCell ref="A4:A15"/>
    <mergeCell ref="C4:C5"/>
    <mergeCell ref="D4:D5"/>
    <mergeCell ref="E4:E5"/>
    <mergeCell ref="C6:C14"/>
    <mergeCell ref="D6:D14"/>
    <mergeCell ref="E6:E14"/>
    <mergeCell ref="A34:A37"/>
    <mergeCell ref="C34:C37"/>
    <mergeCell ref="D34:D37"/>
    <mergeCell ref="A56:A60"/>
    <mergeCell ref="C56:C62"/>
    <mergeCell ref="D56:D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7" workbookViewId="0">
      <selection activeCell="K44" sqref="K44"/>
    </sheetView>
  </sheetViews>
  <sheetFormatPr defaultRowHeight="15" x14ac:dyDescent="0.2"/>
  <cols>
    <col min="1" max="1" width="18" style="27" customWidth="1"/>
    <col min="2" max="2" width="34" style="27" customWidth="1"/>
    <col min="3" max="3" width="32.7109375" style="28" customWidth="1"/>
    <col min="4" max="4" width="18.5703125" style="28" customWidth="1"/>
    <col min="5" max="5" width="16.5703125" style="40" hidden="1" customWidth="1"/>
    <col min="6" max="6" width="9.140625" style="29"/>
    <col min="7" max="7" width="12.42578125" style="29" hidden="1" customWidth="1"/>
    <col min="8" max="8" width="11" style="29" hidden="1" customWidth="1"/>
    <col min="9" max="9" width="0" style="29" hidden="1" customWidth="1"/>
    <col min="10" max="10" width="12.42578125" style="29" bestFit="1" customWidth="1"/>
    <col min="11" max="242" width="9.140625" style="29"/>
    <col min="243" max="243" width="3.7109375" style="29" customWidth="1"/>
    <col min="244" max="244" width="12.85546875" style="29" customWidth="1"/>
    <col min="245" max="245" width="37.5703125" style="29" bestFit="1" customWidth="1"/>
    <col min="246" max="246" width="13.85546875" style="29" customWidth="1"/>
    <col min="247" max="247" width="13" style="29" customWidth="1"/>
    <col min="248" max="248" width="13.42578125" style="29" customWidth="1"/>
    <col min="249" max="249" width="11.28515625" style="29" customWidth="1"/>
    <col min="250" max="250" width="20.85546875" style="29" bestFit="1" customWidth="1"/>
    <col min="251" max="251" width="13.28515625" style="29" customWidth="1"/>
    <col min="252" max="252" width="19.7109375" style="29" customWidth="1"/>
    <col min="253" max="253" width="11.5703125" style="29" customWidth="1"/>
    <col min="254" max="254" width="23.28515625" style="29" customWidth="1"/>
    <col min="255" max="255" width="15.5703125" style="29" customWidth="1"/>
    <col min="256" max="498" width="9.140625" style="29"/>
    <col min="499" max="499" width="3.7109375" style="29" customWidth="1"/>
    <col min="500" max="500" width="12.85546875" style="29" customWidth="1"/>
    <col min="501" max="501" width="37.5703125" style="29" bestFit="1" customWidth="1"/>
    <col min="502" max="502" width="13.85546875" style="29" customWidth="1"/>
    <col min="503" max="503" width="13" style="29" customWidth="1"/>
    <col min="504" max="504" width="13.42578125" style="29" customWidth="1"/>
    <col min="505" max="505" width="11.28515625" style="29" customWidth="1"/>
    <col min="506" max="506" width="20.85546875" style="29" bestFit="1" customWidth="1"/>
    <col min="507" max="507" width="13.28515625" style="29" customWidth="1"/>
    <col min="508" max="508" width="19.7109375" style="29" customWidth="1"/>
    <col min="509" max="509" width="11.5703125" style="29" customWidth="1"/>
    <col min="510" max="510" width="23.28515625" style="29" customWidth="1"/>
    <col min="511" max="511" width="15.5703125" style="29" customWidth="1"/>
    <col min="512" max="754" width="9.140625" style="29"/>
    <col min="755" max="755" width="3.7109375" style="29" customWidth="1"/>
    <col min="756" max="756" width="12.85546875" style="29" customWidth="1"/>
    <col min="757" max="757" width="37.5703125" style="29" bestFit="1" customWidth="1"/>
    <col min="758" max="758" width="13.85546875" style="29" customWidth="1"/>
    <col min="759" max="759" width="13" style="29" customWidth="1"/>
    <col min="760" max="760" width="13.42578125" style="29" customWidth="1"/>
    <col min="761" max="761" width="11.28515625" style="29" customWidth="1"/>
    <col min="762" max="762" width="20.85546875" style="29" bestFit="1" customWidth="1"/>
    <col min="763" max="763" width="13.28515625" style="29" customWidth="1"/>
    <col min="764" max="764" width="19.7109375" style="29" customWidth="1"/>
    <col min="765" max="765" width="11.5703125" style="29" customWidth="1"/>
    <col min="766" max="766" width="23.28515625" style="29" customWidth="1"/>
    <col min="767" max="767" width="15.5703125" style="29" customWidth="1"/>
    <col min="768" max="1010" width="9.140625" style="29"/>
    <col min="1011" max="1011" width="3.7109375" style="29" customWidth="1"/>
    <col min="1012" max="1012" width="12.85546875" style="29" customWidth="1"/>
    <col min="1013" max="1013" width="37.5703125" style="29" bestFit="1" customWidth="1"/>
    <col min="1014" max="1014" width="13.85546875" style="29" customWidth="1"/>
    <col min="1015" max="1015" width="13" style="29" customWidth="1"/>
    <col min="1016" max="1016" width="13.42578125" style="29" customWidth="1"/>
    <col min="1017" max="1017" width="11.28515625" style="29" customWidth="1"/>
    <col min="1018" max="1018" width="20.85546875" style="29" bestFit="1" customWidth="1"/>
    <col min="1019" max="1019" width="13.28515625" style="29" customWidth="1"/>
    <col min="1020" max="1020" width="19.7109375" style="29" customWidth="1"/>
    <col min="1021" max="1021" width="11.5703125" style="29" customWidth="1"/>
    <col min="1022" max="1022" width="23.28515625" style="29" customWidth="1"/>
    <col min="1023" max="1023" width="15.5703125" style="29" customWidth="1"/>
    <col min="1024" max="1266" width="9.140625" style="29"/>
    <col min="1267" max="1267" width="3.7109375" style="29" customWidth="1"/>
    <col min="1268" max="1268" width="12.85546875" style="29" customWidth="1"/>
    <col min="1269" max="1269" width="37.5703125" style="29" bestFit="1" customWidth="1"/>
    <col min="1270" max="1270" width="13.85546875" style="29" customWidth="1"/>
    <col min="1271" max="1271" width="13" style="29" customWidth="1"/>
    <col min="1272" max="1272" width="13.42578125" style="29" customWidth="1"/>
    <col min="1273" max="1273" width="11.28515625" style="29" customWidth="1"/>
    <col min="1274" max="1274" width="20.85546875" style="29" bestFit="1" customWidth="1"/>
    <col min="1275" max="1275" width="13.28515625" style="29" customWidth="1"/>
    <col min="1276" max="1276" width="19.7109375" style="29" customWidth="1"/>
    <col min="1277" max="1277" width="11.5703125" style="29" customWidth="1"/>
    <col min="1278" max="1278" width="23.28515625" style="29" customWidth="1"/>
    <col min="1279" max="1279" width="15.5703125" style="29" customWidth="1"/>
    <col min="1280" max="1522" width="9.140625" style="29"/>
    <col min="1523" max="1523" width="3.7109375" style="29" customWidth="1"/>
    <col min="1524" max="1524" width="12.85546875" style="29" customWidth="1"/>
    <col min="1525" max="1525" width="37.5703125" style="29" bestFit="1" customWidth="1"/>
    <col min="1526" max="1526" width="13.85546875" style="29" customWidth="1"/>
    <col min="1527" max="1527" width="13" style="29" customWidth="1"/>
    <col min="1528" max="1528" width="13.42578125" style="29" customWidth="1"/>
    <col min="1529" max="1529" width="11.28515625" style="29" customWidth="1"/>
    <col min="1530" max="1530" width="20.85546875" style="29" bestFit="1" customWidth="1"/>
    <col min="1531" max="1531" width="13.28515625" style="29" customWidth="1"/>
    <col min="1532" max="1532" width="19.7109375" style="29" customWidth="1"/>
    <col min="1533" max="1533" width="11.5703125" style="29" customWidth="1"/>
    <col min="1534" max="1534" width="23.28515625" style="29" customWidth="1"/>
    <col min="1535" max="1535" width="15.5703125" style="29" customWidth="1"/>
    <col min="1536" max="1778" width="9.140625" style="29"/>
    <col min="1779" max="1779" width="3.7109375" style="29" customWidth="1"/>
    <col min="1780" max="1780" width="12.85546875" style="29" customWidth="1"/>
    <col min="1781" max="1781" width="37.5703125" style="29" bestFit="1" customWidth="1"/>
    <col min="1782" max="1782" width="13.85546875" style="29" customWidth="1"/>
    <col min="1783" max="1783" width="13" style="29" customWidth="1"/>
    <col min="1784" max="1784" width="13.42578125" style="29" customWidth="1"/>
    <col min="1785" max="1785" width="11.28515625" style="29" customWidth="1"/>
    <col min="1786" max="1786" width="20.85546875" style="29" bestFit="1" customWidth="1"/>
    <col min="1787" max="1787" width="13.28515625" style="29" customWidth="1"/>
    <col min="1788" max="1788" width="19.7109375" style="29" customWidth="1"/>
    <col min="1789" max="1789" width="11.5703125" style="29" customWidth="1"/>
    <col min="1790" max="1790" width="23.28515625" style="29" customWidth="1"/>
    <col min="1791" max="1791" width="15.5703125" style="29" customWidth="1"/>
    <col min="1792" max="2034" width="9.140625" style="29"/>
    <col min="2035" max="2035" width="3.7109375" style="29" customWidth="1"/>
    <col min="2036" max="2036" width="12.85546875" style="29" customWidth="1"/>
    <col min="2037" max="2037" width="37.5703125" style="29" bestFit="1" customWidth="1"/>
    <col min="2038" max="2038" width="13.85546875" style="29" customWidth="1"/>
    <col min="2039" max="2039" width="13" style="29" customWidth="1"/>
    <col min="2040" max="2040" width="13.42578125" style="29" customWidth="1"/>
    <col min="2041" max="2041" width="11.28515625" style="29" customWidth="1"/>
    <col min="2042" max="2042" width="20.85546875" style="29" bestFit="1" customWidth="1"/>
    <col min="2043" max="2043" width="13.28515625" style="29" customWidth="1"/>
    <col min="2044" max="2044" width="19.7109375" style="29" customWidth="1"/>
    <col min="2045" max="2045" width="11.5703125" style="29" customWidth="1"/>
    <col min="2046" max="2046" width="23.28515625" style="29" customWidth="1"/>
    <col min="2047" max="2047" width="15.5703125" style="29" customWidth="1"/>
    <col min="2048" max="2290" width="9.140625" style="29"/>
    <col min="2291" max="2291" width="3.7109375" style="29" customWidth="1"/>
    <col min="2292" max="2292" width="12.85546875" style="29" customWidth="1"/>
    <col min="2293" max="2293" width="37.5703125" style="29" bestFit="1" customWidth="1"/>
    <col min="2294" max="2294" width="13.85546875" style="29" customWidth="1"/>
    <col min="2295" max="2295" width="13" style="29" customWidth="1"/>
    <col min="2296" max="2296" width="13.42578125" style="29" customWidth="1"/>
    <col min="2297" max="2297" width="11.28515625" style="29" customWidth="1"/>
    <col min="2298" max="2298" width="20.85546875" style="29" bestFit="1" customWidth="1"/>
    <col min="2299" max="2299" width="13.28515625" style="29" customWidth="1"/>
    <col min="2300" max="2300" width="19.7109375" style="29" customWidth="1"/>
    <col min="2301" max="2301" width="11.5703125" style="29" customWidth="1"/>
    <col min="2302" max="2302" width="23.28515625" style="29" customWidth="1"/>
    <col min="2303" max="2303" width="15.5703125" style="29" customWidth="1"/>
    <col min="2304" max="2546" width="9.140625" style="29"/>
    <col min="2547" max="2547" width="3.7109375" style="29" customWidth="1"/>
    <col min="2548" max="2548" width="12.85546875" style="29" customWidth="1"/>
    <col min="2549" max="2549" width="37.5703125" style="29" bestFit="1" customWidth="1"/>
    <col min="2550" max="2550" width="13.85546875" style="29" customWidth="1"/>
    <col min="2551" max="2551" width="13" style="29" customWidth="1"/>
    <col min="2552" max="2552" width="13.42578125" style="29" customWidth="1"/>
    <col min="2553" max="2553" width="11.28515625" style="29" customWidth="1"/>
    <col min="2554" max="2554" width="20.85546875" style="29" bestFit="1" customWidth="1"/>
    <col min="2555" max="2555" width="13.28515625" style="29" customWidth="1"/>
    <col min="2556" max="2556" width="19.7109375" style="29" customWidth="1"/>
    <col min="2557" max="2557" width="11.5703125" style="29" customWidth="1"/>
    <col min="2558" max="2558" width="23.28515625" style="29" customWidth="1"/>
    <col min="2559" max="2559" width="15.5703125" style="29" customWidth="1"/>
    <col min="2560" max="2802" width="9.140625" style="29"/>
    <col min="2803" max="2803" width="3.7109375" style="29" customWidth="1"/>
    <col min="2804" max="2804" width="12.85546875" style="29" customWidth="1"/>
    <col min="2805" max="2805" width="37.5703125" style="29" bestFit="1" customWidth="1"/>
    <col min="2806" max="2806" width="13.85546875" style="29" customWidth="1"/>
    <col min="2807" max="2807" width="13" style="29" customWidth="1"/>
    <col min="2808" max="2808" width="13.42578125" style="29" customWidth="1"/>
    <col min="2809" max="2809" width="11.28515625" style="29" customWidth="1"/>
    <col min="2810" max="2810" width="20.85546875" style="29" bestFit="1" customWidth="1"/>
    <col min="2811" max="2811" width="13.28515625" style="29" customWidth="1"/>
    <col min="2812" max="2812" width="19.7109375" style="29" customWidth="1"/>
    <col min="2813" max="2813" width="11.5703125" style="29" customWidth="1"/>
    <col min="2814" max="2814" width="23.28515625" style="29" customWidth="1"/>
    <col min="2815" max="2815" width="15.5703125" style="29" customWidth="1"/>
    <col min="2816" max="3058" width="9.140625" style="29"/>
    <col min="3059" max="3059" width="3.7109375" style="29" customWidth="1"/>
    <col min="3060" max="3060" width="12.85546875" style="29" customWidth="1"/>
    <col min="3061" max="3061" width="37.5703125" style="29" bestFit="1" customWidth="1"/>
    <col min="3062" max="3062" width="13.85546875" style="29" customWidth="1"/>
    <col min="3063" max="3063" width="13" style="29" customWidth="1"/>
    <col min="3064" max="3064" width="13.42578125" style="29" customWidth="1"/>
    <col min="3065" max="3065" width="11.28515625" style="29" customWidth="1"/>
    <col min="3066" max="3066" width="20.85546875" style="29" bestFit="1" customWidth="1"/>
    <col min="3067" max="3067" width="13.28515625" style="29" customWidth="1"/>
    <col min="3068" max="3068" width="19.7109375" style="29" customWidth="1"/>
    <col min="3069" max="3069" width="11.5703125" style="29" customWidth="1"/>
    <col min="3070" max="3070" width="23.28515625" style="29" customWidth="1"/>
    <col min="3071" max="3071" width="15.5703125" style="29" customWidth="1"/>
    <col min="3072" max="3314" width="9.140625" style="29"/>
    <col min="3315" max="3315" width="3.7109375" style="29" customWidth="1"/>
    <col min="3316" max="3316" width="12.85546875" style="29" customWidth="1"/>
    <col min="3317" max="3317" width="37.5703125" style="29" bestFit="1" customWidth="1"/>
    <col min="3318" max="3318" width="13.85546875" style="29" customWidth="1"/>
    <col min="3319" max="3319" width="13" style="29" customWidth="1"/>
    <col min="3320" max="3320" width="13.42578125" style="29" customWidth="1"/>
    <col min="3321" max="3321" width="11.28515625" style="29" customWidth="1"/>
    <col min="3322" max="3322" width="20.85546875" style="29" bestFit="1" customWidth="1"/>
    <col min="3323" max="3323" width="13.28515625" style="29" customWidth="1"/>
    <col min="3324" max="3324" width="19.7109375" style="29" customWidth="1"/>
    <col min="3325" max="3325" width="11.5703125" style="29" customWidth="1"/>
    <col min="3326" max="3326" width="23.28515625" style="29" customWidth="1"/>
    <col min="3327" max="3327" width="15.5703125" style="29" customWidth="1"/>
    <col min="3328" max="3570" width="9.140625" style="29"/>
    <col min="3571" max="3571" width="3.7109375" style="29" customWidth="1"/>
    <col min="3572" max="3572" width="12.85546875" style="29" customWidth="1"/>
    <col min="3573" max="3573" width="37.5703125" style="29" bestFit="1" customWidth="1"/>
    <col min="3574" max="3574" width="13.85546875" style="29" customWidth="1"/>
    <col min="3575" max="3575" width="13" style="29" customWidth="1"/>
    <col min="3576" max="3576" width="13.42578125" style="29" customWidth="1"/>
    <col min="3577" max="3577" width="11.28515625" style="29" customWidth="1"/>
    <col min="3578" max="3578" width="20.85546875" style="29" bestFit="1" customWidth="1"/>
    <col min="3579" max="3579" width="13.28515625" style="29" customWidth="1"/>
    <col min="3580" max="3580" width="19.7109375" style="29" customWidth="1"/>
    <col min="3581" max="3581" width="11.5703125" style="29" customWidth="1"/>
    <col min="3582" max="3582" width="23.28515625" style="29" customWidth="1"/>
    <col min="3583" max="3583" width="15.5703125" style="29" customWidth="1"/>
    <col min="3584" max="3826" width="9.140625" style="29"/>
    <col min="3827" max="3827" width="3.7109375" style="29" customWidth="1"/>
    <col min="3828" max="3828" width="12.85546875" style="29" customWidth="1"/>
    <col min="3829" max="3829" width="37.5703125" style="29" bestFit="1" customWidth="1"/>
    <col min="3830" max="3830" width="13.85546875" style="29" customWidth="1"/>
    <col min="3831" max="3831" width="13" style="29" customWidth="1"/>
    <col min="3832" max="3832" width="13.42578125" style="29" customWidth="1"/>
    <col min="3833" max="3833" width="11.28515625" style="29" customWidth="1"/>
    <col min="3834" max="3834" width="20.85546875" style="29" bestFit="1" customWidth="1"/>
    <col min="3835" max="3835" width="13.28515625" style="29" customWidth="1"/>
    <col min="3836" max="3836" width="19.7109375" style="29" customWidth="1"/>
    <col min="3837" max="3837" width="11.5703125" style="29" customWidth="1"/>
    <col min="3838" max="3838" width="23.28515625" style="29" customWidth="1"/>
    <col min="3839" max="3839" width="15.5703125" style="29" customWidth="1"/>
    <col min="3840" max="4082" width="9.140625" style="29"/>
    <col min="4083" max="4083" width="3.7109375" style="29" customWidth="1"/>
    <col min="4084" max="4084" width="12.85546875" style="29" customWidth="1"/>
    <col min="4085" max="4085" width="37.5703125" style="29" bestFit="1" customWidth="1"/>
    <col min="4086" max="4086" width="13.85546875" style="29" customWidth="1"/>
    <col min="4087" max="4087" width="13" style="29" customWidth="1"/>
    <col min="4088" max="4088" width="13.42578125" style="29" customWidth="1"/>
    <col min="4089" max="4089" width="11.28515625" style="29" customWidth="1"/>
    <col min="4090" max="4090" width="20.85546875" style="29" bestFit="1" customWidth="1"/>
    <col min="4091" max="4091" width="13.28515625" style="29" customWidth="1"/>
    <col min="4092" max="4092" width="19.7109375" style="29" customWidth="1"/>
    <col min="4093" max="4093" width="11.5703125" style="29" customWidth="1"/>
    <col min="4094" max="4094" width="23.28515625" style="29" customWidth="1"/>
    <col min="4095" max="4095" width="15.5703125" style="29" customWidth="1"/>
    <col min="4096" max="4338" width="9.140625" style="29"/>
    <col min="4339" max="4339" width="3.7109375" style="29" customWidth="1"/>
    <col min="4340" max="4340" width="12.85546875" style="29" customWidth="1"/>
    <col min="4341" max="4341" width="37.5703125" style="29" bestFit="1" customWidth="1"/>
    <col min="4342" max="4342" width="13.85546875" style="29" customWidth="1"/>
    <col min="4343" max="4343" width="13" style="29" customWidth="1"/>
    <col min="4344" max="4344" width="13.42578125" style="29" customWidth="1"/>
    <col min="4345" max="4345" width="11.28515625" style="29" customWidth="1"/>
    <col min="4346" max="4346" width="20.85546875" style="29" bestFit="1" customWidth="1"/>
    <col min="4347" max="4347" width="13.28515625" style="29" customWidth="1"/>
    <col min="4348" max="4348" width="19.7109375" style="29" customWidth="1"/>
    <col min="4349" max="4349" width="11.5703125" style="29" customWidth="1"/>
    <col min="4350" max="4350" width="23.28515625" style="29" customWidth="1"/>
    <col min="4351" max="4351" width="15.5703125" style="29" customWidth="1"/>
    <col min="4352" max="4594" width="9.140625" style="29"/>
    <col min="4595" max="4595" width="3.7109375" style="29" customWidth="1"/>
    <col min="4596" max="4596" width="12.85546875" style="29" customWidth="1"/>
    <col min="4597" max="4597" width="37.5703125" style="29" bestFit="1" customWidth="1"/>
    <col min="4598" max="4598" width="13.85546875" style="29" customWidth="1"/>
    <col min="4599" max="4599" width="13" style="29" customWidth="1"/>
    <col min="4600" max="4600" width="13.42578125" style="29" customWidth="1"/>
    <col min="4601" max="4601" width="11.28515625" style="29" customWidth="1"/>
    <col min="4602" max="4602" width="20.85546875" style="29" bestFit="1" customWidth="1"/>
    <col min="4603" max="4603" width="13.28515625" style="29" customWidth="1"/>
    <col min="4604" max="4604" width="19.7109375" style="29" customWidth="1"/>
    <col min="4605" max="4605" width="11.5703125" style="29" customWidth="1"/>
    <col min="4606" max="4606" width="23.28515625" style="29" customWidth="1"/>
    <col min="4607" max="4607" width="15.5703125" style="29" customWidth="1"/>
    <col min="4608" max="4850" width="9.140625" style="29"/>
    <col min="4851" max="4851" width="3.7109375" style="29" customWidth="1"/>
    <col min="4852" max="4852" width="12.85546875" style="29" customWidth="1"/>
    <col min="4853" max="4853" width="37.5703125" style="29" bestFit="1" customWidth="1"/>
    <col min="4854" max="4854" width="13.85546875" style="29" customWidth="1"/>
    <col min="4855" max="4855" width="13" style="29" customWidth="1"/>
    <col min="4856" max="4856" width="13.42578125" style="29" customWidth="1"/>
    <col min="4857" max="4857" width="11.28515625" style="29" customWidth="1"/>
    <col min="4858" max="4858" width="20.85546875" style="29" bestFit="1" customWidth="1"/>
    <col min="4859" max="4859" width="13.28515625" style="29" customWidth="1"/>
    <col min="4860" max="4860" width="19.7109375" style="29" customWidth="1"/>
    <col min="4861" max="4861" width="11.5703125" style="29" customWidth="1"/>
    <col min="4862" max="4862" width="23.28515625" style="29" customWidth="1"/>
    <col min="4863" max="4863" width="15.5703125" style="29" customWidth="1"/>
    <col min="4864" max="5106" width="9.140625" style="29"/>
    <col min="5107" max="5107" width="3.7109375" style="29" customWidth="1"/>
    <col min="5108" max="5108" width="12.85546875" style="29" customWidth="1"/>
    <col min="5109" max="5109" width="37.5703125" style="29" bestFit="1" customWidth="1"/>
    <col min="5110" max="5110" width="13.85546875" style="29" customWidth="1"/>
    <col min="5111" max="5111" width="13" style="29" customWidth="1"/>
    <col min="5112" max="5112" width="13.42578125" style="29" customWidth="1"/>
    <col min="5113" max="5113" width="11.28515625" style="29" customWidth="1"/>
    <col min="5114" max="5114" width="20.85546875" style="29" bestFit="1" customWidth="1"/>
    <col min="5115" max="5115" width="13.28515625" style="29" customWidth="1"/>
    <col min="5116" max="5116" width="19.7109375" style="29" customWidth="1"/>
    <col min="5117" max="5117" width="11.5703125" style="29" customWidth="1"/>
    <col min="5118" max="5118" width="23.28515625" style="29" customWidth="1"/>
    <col min="5119" max="5119" width="15.5703125" style="29" customWidth="1"/>
    <col min="5120" max="5362" width="9.140625" style="29"/>
    <col min="5363" max="5363" width="3.7109375" style="29" customWidth="1"/>
    <col min="5364" max="5364" width="12.85546875" style="29" customWidth="1"/>
    <col min="5365" max="5365" width="37.5703125" style="29" bestFit="1" customWidth="1"/>
    <col min="5366" max="5366" width="13.85546875" style="29" customWidth="1"/>
    <col min="5367" max="5367" width="13" style="29" customWidth="1"/>
    <col min="5368" max="5368" width="13.42578125" style="29" customWidth="1"/>
    <col min="5369" max="5369" width="11.28515625" style="29" customWidth="1"/>
    <col min="5370" max="5370" width="20.85546875" style="29" bestFit="1" customWidth="1"/>
    <col min="5371" max="5371" width="13.28515625" style="29" customWidth="1"/>
    <col min="5372" max="5372" width="19.7109375" style="29" customWidth="1"/>
    <col min="5373" max="5373" width="11.5703125" style="29" customWidth="1"/>
    <col min="5374" max="5374" width="23.28515625" style="29" customWidth="1"/>
    <col min="5375" max="5375" width="15.5703125" style="29" customWidth="1"/>
    <col min="5376" max="5618" width="9.140625" style="29"/>
    <col min="5619" max="5619" width="3.7109375" style="29" customWidth="1"/>
    <col min="5620" max="5620" width="12.85546875" style="29" customWidth="1"/>
    <col min="5621" max="5621" width="37.5703125" style="29" bestFit="1" customWidth="1"/>
    <col min="5622" max="5622" width="13.85546875" style="29" customWidth="1"/>
    <col min="5623" max="5623" width="13" style="29" customWidth="1"/>
    <col min="5624" max="5624" width="13.42578125" style="29" customWidth="1"/>
    <col min="5625" max="5625" width="11.28515625" style="29" customWidth="1"/>
    <col min="5626" max="5626" width="20.85546875" style="29" bestFit="1" customWidth="1"/>
    <col min="5627" max="5627" width="13.28515625" style="29" customWidth="1"/>
    <col min="5628" max="5628" width="19.7109375" style="29" customWidth="1"/>
    <col min="5629" max="5629" width="11.5703125" style="29" customWidth="1"/>
    <col min="5630" max="5630" width="23.28515625" style="29" customWidth="1"/>
    <col min="5631" max="5631" width="15.5703125" style="29" customWidth="1"/>
    <col min="5632" max="5874" width="9.140625" style="29"/>
    <col min="5875" max="5875" width="3.7109375" style="29" customWidth="1"/>
    <col min="5876" max="5876" width="12.85546875" style="29" customWidth="1"/>
    <col min="5877" max="5877" width="37.5703125" style="29" bestFit="1" customWidth="1"/>
    <col min="5878" max="5878" width="13.85546875" style="29" customWidth="1"/>
    <col min="5879" max="5879" width="13" style="29" customWidth="1"/>
    <col min="5880" max="5880" width="13.42578125" style="29" customWidth="1"/>
    <col min="5881" max="5881" width="11.28515625" style="29" customWidth="1"/>
    <col min="5882" max="5882" width="20.85546875" style="29" bestFit="1" customWidth="1"/>
    <col min="5883" max="5883" width="13.28515625" style="29" customWidth="1"/>
    <col min="5884" max="5884" width="19.7109375" style="29" customWidth="1"/>
    <col min="5885" max="5885" width="11.5703125" style="29" customWidth="1"/>
    <col min="5886" max="5886" width="23.28515625" style="29" customWidth="1"/>
    <col min="5887" max="5887" width="15.5703125" style="29" customWidth="1"/>
    <col min="5888" max="6130" width="9.140625" style="29"/>
    <col min="6131" max="6131" width="3.7109375" style="29" customWidth="1"/>
    <col min="6132" max="6132" width="12.85546875" style="29" customWidth="1"/>
    <col min="6133" max="6133" width="37.5703125" style="29" bestFit="1" customWidth="1"/>
    <col min="6134" max="6134" width="13.85546875" style="29" customWidth="1"/>
    <col min="6135" max="6135" width="13" style="29" customWidth="1"/>
    <col min="6136" max="6136" width="13.42578125" style="29" customWidth="1"/>
    <col min="6137" max="6137" width="11.28515625" style="29" customWidth="1"/>
    <col min="6138" max="6138" width="20.85546875" style="29" bestFit="1" customWidth="1"/>
    <col min="6139" max="6139" width="13.28515625" style="29" customWidth="1"/>
    <col min="6140" max="6140" width="19.7109375" style="29" customWidth="1"/>
    <col min="6141" max="6141" width="11.5703125" style="29" customWidth="1"/>
    <col min="6142" max="6142" width="23.28515625" style="29" customWidth="1"/>
    <col min="6143" max="6143" width="15.5703125" style="29" customWidth="1"/>
    <col min="6144" max="6386" width="9.140625" style="29"/>
    <col min="6387" max="6387" width="3.7109375" style="29" customWidth="1"/>
    <col min="6388" max="6388" width="12.85546875" style="29" customWidth="1"/>
    <col min="6389" max="6389" width="37.5703125" style="29" bestFit="1" customWidth="1"/>
    <col min="6390" max="6390" width="13.85546875" style="29" customWidth="1"/>
    <col min="6391" max="6391" width="13" style="29" customWidth="1"/>
    <col min="6392" max="6392" width="13.42578125" style="29" customWidth="1"/>
    <col min="6393" max="6393" width="11.28515625" style="29" customWidth="1"/>
    <col min="6394" max="6394" width="20.85546875" style="29" bestFit="1" customWidth="1"/>
    <col min="6395" max="6395" width="13.28515625" style="29" customWidth="1"/>
    <col min="6396" max="6396" width="19.7109375" style="29" customWidth="1"/>
    <col min="6397" max="6397" width="11.5703125" style="29" customWidth="1"/>
    <col min="6398" max="6398" width="23.28515625" style="29" customWidth="1"/>
    <col min="6399" max="6399" width="15.5703125" style="29" customWidth="1"/>
    <col min="6400" max="6642" width="9.140625" style="29"/>
    <col min="6643" max="6643" width="3.7109375" style="29" customWidth="1"/>
    <col min="6644" max="6644" width="12.85546875" style="29" customWidth="1"/>
    <col min="6645" max="6645" width="37.5703125" style="29" bestFit="1" customWidth="1"/>
    <col min="6646" max="6646" width="13.85546875" style="29" customWidth="1"/>
    <col min="6647" max="6647" width="13" style="29" customWidth="1"/>
    <col min="6648" max="6648" width="13.42578125" style="29" customWidth="1"/>
    <col min="6649" max="6649" width="11.28515625" style="29" customWidth="1"/>
    <col min="6650" max="6650" width="20.85546875" style="29" bestFit="1" customWidth="1"/>
    <col min="6651" max="6651" width="13.28515625" style="29" customWidth="1"/>
    <col min="6652" max="6652" width="19.7109375" style="29" customWidth="1"/>
    <col min="6653" max="6653" width="11.5703125" style="29" customWidth="1"/>
    <col min="6654" max="6654" width="23.28515625" style="29" customWidth="1"/>
    <col min="6655" max="6655" width="15.5703125" style="29" customWidth="1"/>
    <col min="6656" max="6898" width="9.140625" style="29"/>
    <col min="6899" max="6899" width="3.7109375" style="29" customWidth="1"/>
    <col min="6900" max="6900" width="12.85546875" style="29" customWidth="1"/>
    <col min="6901" max="6901" width="37.5703125" style="29" bestFit="1" customWidth="1"/>
    <col min="6902" max="6902" width="13.85546875" style="29" customWidth="1"/>
    <col min="6903" max="6903" width="13" style="29" customWidth="1"/>
    <col min="6904" max="6904" width="13.42578125" style="29" customWidth="1"/>
    <col min="6905" max="6905" width="11.28515625" style="29" customWidth="1"/>
    <col min="6906" max="6906" width="20.85546875" style="29" bestFit="1" customWidth="1"/>
    <col min="6907" max="6907" width="13.28515625" style="29" customWidth="1"/>
    <col min="6908" max="6908" width="19.7109375" style="29" customWidth="1"/>
    <col min="6909" max="6909" width="11.5703125" style="29" customWidth="1"/>
    <col min="6910" max="6910" width="23.28515625" style="29" customWidth="1"/>
    <col min="6911" max="6911" width="15.5703125" style="29" customWidth="1"/>
    <col min="6912" max="7154" width="9.140625" style="29"/>
    <col min="7155" max="7155" width="3.7109375" style="29" customWidth="1"/>
    <col min="7156" max="7156" width="12.85546875" style="29" customWidth="1"/>
    <col min="7157" max="7157" width="37.5703125" style="29" bestFit="1" customWidth="1"/>
    <col min="7158" max="7158" width="13.85546875" style="29" customWidth="1"/>
    <col min="7159" max="7159" width="13" style="29" customWidth="1"/>
    <col min="7160" max="7160" width="13.42578125" style="29" customWidth="1"/>
    <col min="7161" max="7161" width="11.28515625" style="29" customWidth="1"/>
    <col min="7162" max="7162" width="20.85546875" style="29" bestFit="1" customWidth="1"/>
    <col min="7163" max="7163" width="13.28515625" style="29" customWidth="1"/>
    <col min="7164" max="7164" width="19.7109375" style="29" customWidth="1"/>
    <col min="7165" max="7165" width="11.5703125" style="29" customWidth="1"/>
    <col min="7166" max="7166" width="23.28515625" style="29" customWidth="1"/>
    <col min="7167" max="7167" width="15.5703125" style="29" customWidth="1"/>
    <col min="7168" max="7410" width="9.140625" style="29"/>
    <col min="7411" max="7411" width="3.7109375" style="29" customWidth="1"/>
    <col min="7412" max="7412" width="12.85546875" style="29" customWidth="1"/>
    <col min="7413" max="7413" width="37.5703125" style="29" bestFit="1" customWidth="1"/>
    <col min="7414" max="7414" width="13.85546875" style="29" customWidth="1"/>
    <col min="7415" max="7415" width="13" style="29" customWidth="1"/>
    <col min="7416" max="7416" width="13.42578125" style="29" customWidth="1"/>
    <col min="7417" max="7417" width="11.28515625" style="29" customWidth="1"/>
    <col min="7418" max="7418" width="20.85546875" style="29" bestFit="1" customWidth="1"/>
    <col min="7419" max="7419" width="13.28515625" style="29" customWidth="1"/>
    <col min="7420" max="7420" width="19.7109375" style="29" customWidth="1"/>
    <col min="7421" max="7421" width="11.5703125" style="29" customWidth="1"/>
    <col min="7422" max="7422" width="23.28515625" style="29" customWidth="1"/>
    <col min="7423" max="7423" width="15.5703125" style="29" customWidth="1"/>
    <col min="7424" max="7666" width="9.140625" style="29"/>
    <col min="7667" max="7667" width="3.7109375" style="29" customWidth="1"/>
    <col min="7668" max="7668" width="12.85546875" style="29" customWidth="1"/>
    <col min="7669" max="7669" width="37.5703125" style="29" bestFit="1" customWidth="1"/>
    <col min="7670" max="7670" width="13.85546875" style="29" customWidth="1"/>
    <col min="7671" max="7671" width="13" style="29" customWidth="1"/>
    <col min="7672" max="7672" width="13.42578125" style="29" customWidth="1"/>
    <col min="7673" max="7673" width="11.28515625" style="29" customWidth="1"/>
    <col min="7674" max="7674" width="20.85546875" style="29" bestFit="1" customWidth="1"/>
    <col min="7675" max="7675" width="13.28515625" style="29" customWidth="1"/>
    <col min="7676" max="7676" width="19.7109375" style="29" customWidth="1"/>
    <col min="7677" max="7677" width="11.5703125" style="29" customWidth="1"/>
    <col min="7678" max="7678" width="23.28515625" style="29" customWidth="1"/>
    <col min="7679" max="7679" width="15.5703125" style="29" customWidth="1"/>
    <col min="7680" max="7922" width="9.140625" style="29"/>
    <col min="7923" max="7923" width="3.7109375" style="29" customWidth="1"/>
    <col min="7924" max="7924" width="12.85546875" style="29" customWidth="1"/>
    <col min="7925" max="7925" width="37.5703125" style="29" bestFit="1" customWidth="1"/>
    <col min="7926" max="7926" width="13.85546875" style="29" customWidth="1"/>
    <col min="7927" max="7927" width="13" style="29" customWidth="1"/>
    <col min="7928" max="7928" width="13.42578125" style="29" customWidth="1"/>
    <col min="7929" max="7929" width="11.28515625" style="29" customWidth="1"/>
    <col min="7930" max="7930" width="20.85546875" style="29" bestFit="1" customWidth="1"/>
    <col min="7931" max="7931" width="13.28515625" style="29" customWidth="1"/>
    <col min="7932" max="7932" width="19.7109375" style="29" customWidth="1"/>
    <col min="7933" max="7933" width="11.5703125" style="29" customWidth="1"/>
    <col min="7934" max="7934" width="23.28515625" style="29" customWidth="1"/>
    <col min="7935" max="7935" width="15.5703125" style="29" customWidth="1"/>
    <col min="7936" max="8178" width="9.140625" style="29"/>
    <col min="8179" max="8179" width="3.7109375" style="29" customWidth="1"/>
    <col min="8180" max="8180" width="12.85546875" style="29" customWidth="1"/>
    <col min="8181" max="8181" width="37.5703125" style="29" bestFit="1" customWidth="1"/>
    <col min="8182" max="8182" width="13.85546875" style="29" customWidth="1"/>
    <col min="8183" max="8183" width="13" style="29" customWidth="1"/>
    <col min="8184" max="8184" width="13.42578125" style="29" customWidth="1"/>
    <col min="8185" max="8185" width="11.28515625" style="29" customWidth="1"/>
    <col min="8186" max="8186" width="20.85546875" style="29" bestFit="1" customWidth="1"/>
    <col min="8187" max="8187" width="13.28515625" style="29" customWidth="1"/>
    <col min="8188" max="8188" width="19.7109375" style="29" customWidth="1"/>
    <col min="8189" max="8189" width="11.5703125" style="29" customWidth="1"/>
    <col min="8190" max="8190" width="23.28515625" style="29" customWidth="1"/>
    <col min="8191" max="8191" width="15.5703125" style="29" customWidth="1"/>
    <col min="8192" max="8434" width="9.140625" style="29"/>
    <col min="8435" max="8435" width="3.7109375" style="29" customWidth="1"/>
    <col min="8436" max="8436" width="12.85546875" style="29" customWidth="1"/>
    <col min="8437" max="8437" width="37.5703125" style="29" bestFit="1" customWidth="1"/>
    <col min="8438" max="8438" width="13.85546875" style="29" customWidth="1"/>
    <col min="8439" max="8439" width="13" style="29" customWidth="1"/>
    <col min="8440" max="8440" width="13.42578125" style="29" customWidth="1"/>
    <col min="8441" max="8441" width="11.28515625" style="29" customWidth="1"/>
    <col min="8442" max="8442" width="20.85546875" style="29" bestFit="1" customWidth="1"/>
    <col min="8443" max="8443" width="13.28515625" style="29" customWidth="1"/>
    <col min="8444" max="8444" width="19.7109375" style="29" customWidth="1"/>
    <col min="8445" max="8445" width="11.5703125" style="29" customWidth="1"/>
    <col min="8446" max="8446" width="23.28515625" style="29" customWidth="1"/>
    <col min="8447" max="8447" width="15.5703125" style="29" customWidth="1"/>
    <col min="8448" max="8690" width="9.140625" style="29"/>
    <col min="8691" max="8691" width="3.7109375" style="29" customWidth="1"/>
    <col min="8692" max="8692" width="12.85546875" style="29" customWidth="1"/>
    <col min="8693" max="8693" width="37.5703125" style="29" bestFit="1" customWidth="1"/>
    <col min="8694" max="8694" width="13.85546875" style="29" customWidth="1"/>
    <col min="8695" max="8695" width="13" style="29" customWidth="1"/>
    <col min="8696" max="8696" width="13.42578125" style="29" customWidth="1"/>
    <col min="8697" max="8697" width="11.28515625" style="29" customWidth="1"/>
    <col min="8698" max="8698" width="20.85546875" style="29" bestFit="1" customWidth="1"/>
    <col min="8699" max="8699" width="13.28515625" style="29" customWidth="1"/>
    <col min="8700" max="8700" width="19.7109375" style="29" customWidth="1"/>
    <col min="8701" max="8701" width="11.5703125" style="29" customWidth="1"/>
    <col min="8702" max="8702" width="23.28515625" style="29" customWidth="1"/>
    <col min="8703" max="8703" width="15.5703125" style="29" customWidth="1"/>
    <col min="8704" max="8946" width="9.140625" style="29"/>
    <col min="8947" max="8947" width="3.7109375" style="29" customWidth="1"/>
    <col min="8948" max="8948" width="12.85546875" style="29" customWidth="1"/>
    <col min="8949" max="8949" width="37.5703125" style="29" bestFit="1" customWidth="1"/>
    <col min="8950" max="8950" width="13.85546875" style="29" customWidth="1"/>
    <col min="8951" max="8951" width="13" style="29" customWidth="1"/>
    <col min="8952" max="8952" width="13.42578125" style="29" customWidth="1"/>
    <col min="8953" max="8953" width="11.28515625" style="29" customWidth="1"/>
    <col min="8954" max="8954" width="20.85546875" style="29" bestFit="1" customWidth="1"/>
    <col min="8955" max="8955" width="13.28515625" style="29" customWidth="1"/>
    <col min="8956" max="8956" width="19.7109375" style="29" customWidth="1"/>
    <col min="8957" max="8957" width="11.5703125" style="29" customWidth="1"/>
    <col min="8958" max="8958" width="23.28515625" style="29" customWidth="1"/>
    <col min="8959" max="8959" width="15.5703125" style="29" customWidth="1"/>
    <col min="8960" max="9202" width="9.140625" style="29"/>
    <col min="9203" max="9203" width="3.7109375" style="29" customWidth="1"/>
    <col min="9204" max="9204" width="12.85546875" style="29" customWidth="1"/>
    <col min="9205" max="9205" width="37.5703125" style="29" bestFit="1" customWidth="1"/>
    <col min="9206" max="9206" width="13.85546875" style="29" customWidth="1"/>
    <col min="9207" max="9207" width="13" style="29" customWidth="1"/>
    <col min="9208" max="9208" width="13.42578125" style="29" customWidth="1"/>
    <col min="9209" max="9209" width="11.28515625" style="29" customWidth="1"/>
    <col min="9210" max="9210" width="20.85546875" style="29" bestFit="1" customWidth="1"/>
    <col min="9211" max="9211" width="13.28515625" style="29" customWidth="1"/>
    <col min="9212" max="9212" width="19.7109375" style="29" customWidth="1"/>
    <col min="9213" max="9213" width="11.5703125" style="29" customWidth="1"/>
    <col min="9214" max="9214" width="23.28515625" style="29" customWidth="1"/>
    <col min="9215" max="9215" width="15.5703125" style="29" customWidth="1"/>
    <col min="9216" max="9458" width="9.140625" style="29"/>
    <col min="9459" max="9459" width="3.7109375" style="29" customWidth="1"/>
    <col min="9460" max="9460" width="12.85546875" style="29" customWidth="1"/>
    <col min="9461" max="9461" width="37.5703125" style="29" bestFit="1" customWidth="1"/>
    <col min="9462" max="9462" width="13.85546875" style="29" customWidth="1"/>
    <col min="9463" max="9463" width="13" style="29" customWidth="1"/>
    <col min="9464" max="9464" width="13.42578125" style="29" customWidth="1"/>
    <col min="9465" max="9465" width="11.28515625" style="29" customWidth="1"/>
    <col min="9466" max="9466" width="20.85546875" style="29" bestFit="1" customWidth="1"/>
    <col min="9467" max="9467" width="13.28515625" style="29" customWidth="1"/>
    <col min="9468" max="9468" width="19.7109375" style="29" customWidth="1"/>
    <col min="9469" max="9469" width="11.5703125" style="29" customWidth="1"/>
    <col min="9470" max="9470" width="23.28515625" style="29" customWidth="1"/>
    <col min="9471" max="9471" width="15.5703125" style="29" customWidth="1"/>
    <col min="9472" max="9714" width="9.140625" style="29"/>
    <col min="9715" max="9715" width="3.7109375" style="29" customWidth="1"/>
    <col min="9716" max="9716" width="12.85546875" style="29" customWidth="1"/>
    <col min="9717" max="9717" width="37.5703125" style="29" bestFit="1" customWidth="1"/>
    <col min="9718" max="9718" width="13.85546875" style="29" customWidth="1"/>
    <col min="9719" max="9719" width="13" style="29" customWidth="1"/>
    <col min="9720" max="9720" width="13.42578125" style="29" customWidth="1"/>
    <col min="9721" max="9721" width="11.28515625" style="29" customWidth="1"/>
    <col min="9722" max="9722" width="20.85546875" style="29" bestFit="1" customWidth="1"/>
    <col min="9723" max="9723" width="13.28515625" style="29" customWidth="1"/>
    <col min="9724" max="9724" width="19.7109375" style="29" customWidth="1"/>
    <col min="9725" max="9725" width="11.5703125" style="29" customWidth="1"/>
    <col min="9726" max="9726" width="23.28515625" style="29" customWidth="1"/>
    <col min="9727" max="9727" width="15.5703125" style="29" customWidth="1"/>
    <col min="9728" max="9970" width="9.140625" style="29"/>
    <col min="9971" max="9971" width="3.7109375" style="29" customWidth="1"/>
    <col min="9972" max="9972" width="12.85546875" style="29" customWidth="1"/>
    <col min="9973" max="9973" width="37.5703125" style="29" bestFit="1" customWidth="1"/>
    <col min="9974" max="9974" width="13.85546875" style="29" customWidth="1"/>
    <col min="9975" max="9975" width="13" style="29" customWidth="1"/>
    <col min="9976" max="9976" width="13.42578125" style="29" customWidth="1"/>
    <col min="9977" max="9977" width="11.28515625" style="29" customWidth="1"/>
    <col min="9978" max="9978" width="20.85546875" style="29" bestFit="1" customWidth="1"/>
    <col min="9979" max="9979" width="13.28515625" style="29" customWidth="1"/>
    <col min="9980" max="9980" width="19.7109375" style="29" customWidth="1"/>
    <col min="9981" max="9981" width="11.5703125" style="29" customWidth="1"/>
    <col min="9982" max="9982" width="23.28515625" style="29" customWidth="1"/>
    <col min="9983" max="9983" width="15.5703125" style="29" customWidth="1"/>
    <col min="9984" max="10226" width="9.140625" style="29"/>
    <col min="10227" max="10227" width="3.7109375" style="29" customWidth="1"/>
    <col min="10228" max="10228" width="12.85546875" style="29" customWidth="1"/>
    <col min="10229" max="10229" width="37.5703125" style="29" bestFit="1" customWidth="1"/>
    <col min="10230" max="10230" width="13.85546875" style="29" customWidth="1"/>
    <col min="10231" max="10231" width="13" style="29" customWidth="1"/>
    <col min="10232" max="10232" width="13.42578125" style="29" customWidth="1"/>
    <col min="10233" max="10233" width="11.28515625" style="29" customWidth="1"/>
    <col min="10234" max="10234" width="20.85546875" style="29" bestFit="1" customWidth="1"/>
    <col min="10235" max="10235" width="13.28515625" style="29" customWidth="1"/>
    <col min="10236" max="10236" width="19.7109375" style="29" customWidth="1"/>
    <col min="10237" max="10237" width="11.5703125" style="29" customWidth="1"/>
    <col min="10238" max="10238" width="23.28515625" style="29" customWidth="1"/>
    <col min="10239" max="10239" width="15.5703125" style="29" customWidth="1"/>
    <col min="10240" max="10482" width="9.140625" style="29"/>
    <col min="10483" max="10483" width="3.7109375" style="29" customWidth="1"/>
    <col min="10484" max="10484" width="12.85546875" style="29" customWidth="1"/>
    <col min="10485" max="10485" width="37.5703125" style="29" bestFit="1" customWidth="1"/>
    <col min="10486" max="10486" width="13.85546875" style="29" customWidth="1"/>
    <col min="10487" max="10487" width="13" style="29" customWidth="1"/>
    <col min="10488" max="10488" width="13.42578125" style="29" customWidth="1"/>
    <col min="10489" max="10489" width="11.28515625" style="29" customWidth="1"/>
    <col min="10490" max="10490" width="20.85546875" style="29" bestFit="1" customWidth="1"/>
    <col min="10491" max="10491" width="13.28515625" style="29" customWidth="1"/>
    <col min="10492" max="10492" width="19.7109375" style="29" customWidth="1"/>
    <col min="10493" max="10493" width="11.5703125" style="29" customWidth="1"/>
    <col min="10494" max="10494" width="23.28515625" style="29" customWidth="1"/>
    <col min="10495" max="10495" width="15.5703125" style="29" customWidth="1"/>
    <col min="10496" max="10738" width="9.140625" style="29"/>
    <col min="10739" max="10739" width="3.7109375" style="29" customWidth="1"/>
    <col min="10740" max="10740" width="12.85546875" style="29" customWidth="1"/>
    <col min="10741" max="10741" width="37.5703125" style="29" bestFit="1" customWidth="1"/>
    <col min="10742" max="10742" width="13.85546875" style="29" customWidth="1"/>
    <col min="10743" max="10743" width="13" style="29" customWidth="1"/>
    <col min="10744" max="10744" width="13.42578125" style="29" customWidth="1"/>
    <col min="10745" max="10745" width="11.28515625" style="29" customWidth="1"/>
    <col min="10746" max="10746" width="20.85546875" style="29" bestFit="1" customWidth="1"/>
    <col min="10747" max="10747" width="13.28515625" style="29" customWidth="1"/>
    <col min="10748" max="10748" width="19.7109375" style="29" customWidth="1"/>
    <col min="10749" max="10749" width="11.5703125" style="29" customWidth="1"/>
    <col min="10750" max="10750" width="23.28515625" style="29" customWidth="1"/>
    <col min="10751" max="10751" width="15.5703125" style="29" customWidth="1"/>
    <col min="10752" max="10994" width="9.140625" style="29"/>
    <col min="10995" max="10995" width="3.7109375" style="29" customWidth="1"/>
    <col min="10996" max="10996" width="12.85546875" style="29" customWidth="1"/>
    <col min="10997" max="10997" width="37.5703125" style="29" bestFit="1" customWidth="1"/>
    <col min="10998" max="10998" width="13.85546875" style="29" customWidth="1"/>
    <col min="10999" max="10999" width="13" style="29" customWidth="1"/>
    <col min="11000" max="11000" width="13.42578125" style="29" customWidth="1"/>
    <col min="11001" max="11001" width="11.28515625" style="29" customWidth="1"/>
    <col min="11002" max="11002" width="20.85546875" style="29" bestFit="1" customWidth="1"/>
    <col min="11003" max="11003" width="13.28515625" style="29" customWidth="1"/>
    <col min="11004" max="11004" width="19.7109375" style="29" customWidth="1"/>
    <col min="11005" max="11005" width="11.5703125" style="29" customWidth="1"/>
    <col min="11006" max="11006" width="23.28515625" style="29" customWidth="1"/>
    <col min="11007" max="11007" width="15.5703125" style="29" customWidth="1"/>
    <col min="11008" max="11250" width="9.140625" style="29"/>
    <col min="11251" max="11251" width="3.7109375" style="29" customWidth="1"/>
    <col min="11252" max="11252" width="12.85546875" style="29" customWidth="1"/>
    <col min="11253" max="11253" width="37.5703125" style="29" bestFit="1" customWidth="1"/>
    <col min="11254" max="11254" width="13.85546875" style="29" customWidth="1"/>
    <col min="11255" max="11255" width="13" style="29" customWidth="1"/>
    <col min="11256" max="11256" width="13.42578125" style="29" customWidth="1"/>
    <col min="11257" max="11257" width="11.28515625" style="29" customWidth="1"/>
    <col min="11258" max="11258" width="20.85546875" style="29" bestFit="1" customWidth="1"/>
    <col min="11259" max="11259" width="13.28515625" style="29" customWidth="1"/>
    <col min="11260" max="11260" width="19.7109375" style="29" customWidth="1"/>
    <col min="11261" max="11261" width="11.5703125" style="29" customWidth="1"/>
    <col min="11262" max="11262" width="23.28515625" style="29" customWidth="1"/>
    <col min="11263" max="11263" width="15.5703125" style="29" customWidth="1"/>
    <col min="11264" max="11506" width="9.140625" style="29"/>
    <col min="11507" max="11507" width="3.7109375" style="29" customWidth="1"/>
    <col min="11508" max="11508" width="12.85546875" style="29" customWidth="1"/>
    <col min="11509" max="11509" width="37.5703125" style="29" bestFit="1" customWidth="1"/>
    <col min="11510" max="11510" width="13.85546875" style="29" customWidth="1"/>
    <col min="11511" max="11511" width="13" style="29" customWidth="1"/>
    <col min="11512" max="11512" width="13.42578125" style="29" customWidth="1"/>
    <col min="11513" max="11513" width="11.28515625" style="29" customWidth="1"/>
    <col min="11514" max="11514" width="20.85546875" style="29" bestFit="1" customWidth="1"/>
    <col min="11515" max="11515" width="13.28515625" style="29" customWidth="1"/>
    <col min="11516" max="11516" width="19.7109375" style="29" customWidth="1"/>
    <col min="11517" max="11517" width="11.5703125" style="29" customWidth="1"/>
    <col min="11518" max="11518" width="23.28515625" style="29" customWidth="1"/>
    <col min="11519" max="11519" width="15.5703125" style="29" customWidth="1"/>
    <col min="11520" max="11762" width="9.140625" style="29"/>
    <col min="11763" max="11763" width="3.7109375" style="29" customWidth="1"/>
    <col min="11764" max="11764" width="12.85546875" style="29" customWidth="1"/>
    <col min="11765" max="11765" width="37.5703125" style="29" bestFit="1" customWidth="1"/>
    <col min="11766" max="11766" width="13.85546875" style="29" customWidth="1"/>
    <col min="11767" max="11767" width="13" style="29" customWidth="1"/>
    <col min="11768" max="11768" width="13.42578125" style="29" customWidth="1"/>
    <col min="11769" max="11769" width="11.28515625" style="29" customWidth="1"/>
    <col min="11770" max="11770" width="20.85546875" style="29" bestFit="1" customWidth="1"/>
    <col min="11771" max="11771" width="13.28515625" style="29" customWidth="1"/>
    <col min="11772" max="11772" width="19.7109375" style="29" customWidth="1"/>
    <col min="11773" max="11773" width="11.5703125" style="29" customWidth="1"/>
    <col min="11774" max="11774" width="23.28515625" style="29" customWidth="1"/>
    <col min="11775" max="11775" width="15.5703125" style="29" customWidth="1"/>
    <col min="11776" max="12018" width="9.140625" style="29"/>
    <col min="12019" max="12019" width="3.7109375" style="29" customWidth="1"/>
    <col min="12020" max="12020" width="12.85546875" style="29" customWidth="1"/>
    <col min="12021" max="12021" width="37.5703125" style="29" bestFit="1" customWidth="1"/>
    <col min="12022" max="12022" width="13.85546875" style="29" customWidth="1"/>
    <col min="12023" max="12023" width="13" style="29" customWidth="1"/>
    <col min="12024" max="12024" width="13.42578125" style="29" customWidth="1"/>
    <col min="12025" max="12025" width="11.28515625" style="29" customWidth="1"/>
    <col min="12026" max="12026" width="20.85546875" style="29" bestFit="1" customWidth="1"/>
    <col min="12027" max="12027" width="13.28515625" style="29" customWidth="1"/>
    <col min="12028" max="12028" width="19.7109375" style="29" customWidth="1"/>
    <col min="12029" max="12029" width="11.5703125" style="29" customWidth="1"/>
    <col min="12030" max="12030" width="23.28515625" style="29" customWidth="1"/>
    <col min="12031" max="12031" width="15.5703125" style="29" customWidth="1"/>
    <col min="12032" max="12274" width="9.140625" style="29"/>
    <col min="12275" max="12275" width="3.7109375" style="29" customWidth="1"/>
    <col min="12276" max="12276" width="12.85546875" style="29" customWidth="1"/>
    <col min="12277" max="12277" width="37.5703125" style="29" bestFit="1" customWidth="1"/>
    <col min="12278" max="12278" width="13.85546875" style="29" customWidth="1"/>
    <col min="12279" max="12279" width="13" style="29" customWidth="1"/>
    <col min="12280" max="12280" width="13.42578125" style="29" customWidth="1"/>
    <col min="12281" max="12281" width="11.28515625" style="29" customWidth="1"/>
    <col min="12282" max="12282" width="20.85546875" style="29" bestFit="1" customWidth="1"/>
    <col min="12283" max="12283" width="13.28515625" style="29" customWidth="1"/>
    <col min="12284" max="12284" width="19.7109375" style="29" customWidth="1"/>
    <col min="12285" max="12285" width="11.5703125" style="29" customWidth="1"/>
    <col min="12286" max="12286" width="23.28515625" style="29" customWidth="1"/>
    <col min="12287" max="12287" width="15.5703125" style="29" customWidth="1"/>
    <col min="12288" max="12530" width="9.140625" style="29"/>
    <col min="12531" max="12531" width="3.7109375" style="29" customWidth="1"/>
    <col min="12532" max="12532" width="12.85546875" style="29" customWidth="1"/>
    <col min="12533" max="12533" width="37.5703125" style="29" bestFit="1" customWidth="1"/>
    <col min="12534" max="12534" width="13.85546875" style="29" customWidth="1"/>
    <col min="12535" max="12535" width="13" style="29" customWidth="1"/>
    <col min="12536" max="12536" width="13.42578125" style="29" customWidth="1"/>
    <col min="12537" max="12537" width="11.28515625" style="29" customWidth="1"/>
    <col min="12538" max="12538" width="20.85546875" style="29" bestFit="1" customWidth="1"/>
    <col min="12539" max="12539" width="13.28515625" style="29" customWidth="1"/>
    <col min="12540" max="12540" width="19.7109375" style="29" customWidth="1"/>
    <col min="12541" max="12541" width="11.5703125" style="29" customWidth="1"/>
    <col min="12542" max="12542" width="23.28515625" style="29" customWidth="1"/>
    <col min="12543" max="12543" width="15.5703125" style="29" customWidth="1"/>
    <col min="12544" max="12786" width="9.140625" style="29"/>
    <col min="12787" max="12787" width="3.7109375" style="29" customWidth="1"/>
    <col min="12788" max="12788" width="12.85546875" style="29" customWidth="1"/>
    <col min="12789" max="12789" width="37.5703125" style="29" bestFit="1" customWidth="1"/>
    <col min="12790" max="12790" width="13.85546875" style="29" customWidth="1"/>
    <col min="12791" max="12791" width="13" style="29" customWidth="1"/>
    <col min="12792" max="12792" width="13.42578125" style="29" customWidth="1"/>
    <col min="12793" max="12793" width="11.28515625" style="29" customWidth="1"/>
    <col min="12794" max="12794" width="20.85546875" style="29" bestFit="1" customWidth="1"/>
    <col min="12795" max="12795" width="13.28515625" style="29" customWidth="1"/>
    <col min="12796" max="12796" width="19.7109375" style="29" customWidth="1"/>
    <col min="12797" max="12797" width="11.5703125" style="29" customWidth="1"/>
    <col min="12798" max="12798" width="23.28515625" style="29" customWidth="1"/>
    <col min="12799" max="12799" width="15.5703125" style="29" customWidth="1"/>
    <col min="12800" max="13042" width="9.140625" style="29"/>
    <col min="13043" max="13043" width="3.7109375" style="29" customWidth="1"/>
    <col min="13044" max="13044" width="12.85546875" style="29" customWidth="1"/>
    <col min="13045" max="13045" width="37.5703125" style="29" bestFit="1" customWidth="1"/>
    <col min="13046" max="13046" width="13.85546875" style="29" customWidth="1"/>
    <col min="13047" max="13047" width="13" style="29" customWidth="1"/>
    <col min="13048" max="13048" width="13.42578125" style="29" customWidth="1"/>
    <col min="13049" max="13049" width="11.28515625" style="29" customWidth="1"/>
    <col min="13050" max="13050" width="20.85546875" style="29" bestFit="1" customWidth="1"/>
    <col min="13051" max="13051" width="13.28515625" style="29" customWidth="1"/>
    <col min="13052" max="13052" width="19.7109375" style="29" customWidth="1"/>
    <col min="13053" max="13053" width="11.5703125" style="29" customWidth="1"/>
    <col min="13054" max="13054" width="23.28515625" style="29" customWidth="1"/>
    <col min="13055" max="13055" width="15.5703125" style="29" customWidth="1"/>
    <col min="13056" max="13298" width="9.140625" style="29"/>
    <col min="13299" max="13299" width="3.7109375" style="29" customWidth="1"/>
    <col min="13300" max="13300" width="12.85546875" style="29" customWidth="1"/>
    <col min="13301" max="13301" width="37.5703125" style="29" bestFit="1" customWidth="1"/>
    <col min="13302" max="13302" width="13.85546875" style="29" customWidth="1"/>
    <col min="13303" max="13303" width="13" style="29" customWidth="1"/>
    <col min="13304" max="13304" width="13.42578125" style="29" customWidth="1"/>
    <col min="13305" max="13305" width="11.28515625" style="29" customWidth="1"/>
    <col min="13306" max="13306" width="20.85546875" style="29" bestFit="1" customWidth="1"/>
    <col min="13307" max="13307" width="13.28515625" style="29" customWidth="1"/>
    <col min="13308" max="13308" width="19.7109375" style="29" customWidth="1"/>
    <col min="13309" max="13309" width="11.5703125" style="29" customWidth="1"/>
    <col min="13310" max="13310" width="23.28515625" style="29" customWidth="1"/>
    <col min="13311" max="13311" width="15.5703125" style="29" customWidth="1"/>
    <col min="13312" max="13554" width="9.140625" style="29"/>
    <col min="13555" max="13555" width="3.7109375" style="29" customWidth="1"/>
    <col min="13556" max="13556" width="12.85546875" style="29" customWidth="1"/>
    <col min="13557" max="13557" width="37.5703125" style="29" bestFit="1" customWidth="1"/>
    <col min="13558" max="13558" width="13.85546875" style="29" customWidth="1"/>
    <col min="13559" max="13559" width="13" style="29" customWidth="1"/>
    <col min="13560" max="13560" width="13.42578125" style="29" customWidth="1"/>
    <col min="13561" max="13561" width="11.28515625" style="29" customWidth="1"/>
    <col min="13562" max="13562" width="20.85546875" style="29" bestFit="1" customWidth="1"/>
    <col min="13563" max="13563" width="13.28515625" style="29" customWidth="1"/>
    <col min="13564" max="13564" width="19.7109375" style="29" customWidth="1"/>
    <col min="13565" max="13565" width="11.5703125" style="29" customWidth="1"/>
    <col min="13566" max="13566" width="23.28515625" style="29" customWidth="1"/>
    <col min="13567" max="13567" width="15.5703125" style="29" customWidth="1"/>
    <col min="13568" max="13810" width="9.140625" style="29"/>
    <col min="13811" max="13811" width="3.7109375" style="29" customWidth="1"/>
    <col min="13812" max="13812" width="12.85546875" style="29" customWidth="1"/>
    <col min="13813" max="13813" width="37.5703125" style="29" bestFit="1" customWidth="1"/>
    <col min="13814" max="13814" width="13.85546875" style="29" customWidth="1"/>
    <col min="13815" max="13815" width="13" style="29" customWidth="1"/>
    <col min="13816" max="13816" width="13.42578125" style="29" customWidth="1"/>
    <col min="13817" max="13817" width="11.28515625" style="29" customWidth="1"/>
    <col min="13818" max="13818" width="20.85546875" style="29" bestFit="1" customWidth="1"/>
    <col min="13819" max="13819" width="13.28515625" style="29" customWidth="1"/>
    <col min="13820" max="13820" width="19.7109375" style="29" customWidth="1"/>
    <col min="13821" max="13821" width="11.5703125" style="29" customWidth="1"/>
    <col min="13822" max="13822" width="23.28515625" style="29" customWidth="1"/>
    <col min="13823" max="13823" width="15.5703125" style="29" customWidth="1"/>
    <col min="13824" max="14066" width="9.140625" style="29"/>
    <col min="14067" max="14067" width="3.7109375" style="29" customWidth="1"/>
    <col min="14068" max="14068" width="12.85546875" style="29" customWidth="1"/>
    <col min="14069" max="14069" width="37.5703125" style="29" bestFit="1" customWidth="1"/>
    <col min="14070" max="14070" width="13.85546875" style="29" customWidth="1"/>
    <col min="14071" max="14071" width="13" style="29" customWidth="1"/>
    <col min="14072" max="14072" width="13.42578125" style="29" customWidth="1"/>
    <col min="14073" max="14073" width="11.28515625" style="29" customWidth="1"/>
    <col min="14074" max="14074" width="20.85546875" style="29" bestFit="1" customWidth="1"/>
    <col min="14075" max="14075" width="13.28515625" style="29" customWidth="1"/>
    <col min="14076" max="14076" width="19.7109375" style="29" customWidth="1"/>
    <col min="14077" max="14077" width="11.5703125" style="29" customWidth="1"/>
    <col min="14078" max="14078" width="23.28515625" style="29" customWidth="1"/>
    <col min="14079" max="14079" width="15.5703125" style="29" customWidth="1"/>
    <col min="14080" max="14322" width="9.140625" style="29"/>
    <col min="14323" max="14323" width="3.7109375" style="29" customWidth="1"/>
    <col min="14324" max="14324" width="12.85546875" style="29" customWidth="1"/>
    <col min="14325" max="14325" width="37.5703125" style="29" bestFit="1" customWidth="1"/>
    <col min="14326" max="14326" width="13.85546875" style="29" customWidth="1"/>
    <col min="14327" max="14327" width="13" style="29" customWidth="1"/>
    <col min="14328" max="14328" width="13.42578125" style="29" customWidth="1"/>
    <col min="14329" max="14329" width="11.28515625" style="29" customWidth="1"/>
    <col min="14330" max="14330" width="20.85546875" style="29" bestFit="1" customWidth="1"/>
    <col min="14331" max="14331" width="13.28515625" style="29" customWidth="1"/>
    <col min="14332" max="14332" width="19.7109375" style="29" customWidth="1"/>
    <col min="14333" max="14333" width="11.5703125" style="29" customWidth="1"/>
    <col min="14334" max="14334" width="23.28515625" style="29" customWidth="1"/>
    <col min="14335" max="14335" width="15.5703125" style="29" customWidth="1"/>
    <col min="14336" max="14578" width="9.140625" style="29"/>
    <col min="14579" max="14579" width="3.7109375" style="29" customWidth="1"/>
    <col min="14580" max="14580" width="12.85546875" style="29" customWidth="1"/>
    <col min="14581" max="14581" width="37.5703125" style="29" bestFit="1" customWidth="1"/>
    <col min="14582" max="14582" width="13.85546875" style="29" customWidth="1"/>
    <col min="14583" max="14583" width="13" style="29" customWidth="1"/>
    <col min="14584" max="14584" width="13.42578125" style="29" customWidth="1"/>
    <col min="14585" max="14585" width="11.28515625" style="29" customWidth="1"/>
    <col min="14586" max="14586" width="20.85546875" style="29" bestFit="1" customWidth="1"/>
    <col min="14587" max="14587" width="13.28515625" style="29" customWidth="1"/>
    <col min="14588" max="14588" width="19.7109375" style="29" customWidth="1"/>
    <col min="14589" max="14589" width="11.5703125" style="29" customWidth="1"/>
    <col min="14590" max="14590" width="23.28515625" style="29" customWidth="1"/>
    <col min="14591" max="14591" width="15.5703125" style="29" customWidth="1"/>
    <col min="14592" max="14834" width="9.140625" style="29"/>
    <col min="14835" max="14835" width="3.7109375" style="29" customWidth="1"/>
    <col min="14836" max="14836" width="12.85546875" style="29" customWidth="1"/>
    <col min="14837" max="14837" width="37.5703125" style="29" bestFit="1" customWidth="1"/>
    <col min="14838" max="14838" width="13.85546875" style="29" customWidth="1"/>
    <col min="14839" max="14839" width="13" style="29" customWidth="1"/>
    <col min="14840" max="14840" width="13.42578125" style="29" customWidth="1"/>
    <col min="14841" max="14841" width="11.28515625" style="29" customWidth="1"/>
    <col min="14842" max="14842" width="20.85546875" style="29" bestFit="1" customWidth="1"/>
    <col min="14843" max="14843" width="13.28515625" style="29" customWidth="1"/>
    <col min="14844" max="14844" width="19.7109375" style="29" customWidth="1"/>
    <col min="14845" max="14845" width="11.5703125" style="29" customWidth="1"/>
    <col min="14846" max="14846" width="23.28515625" style="29" customWidth="1"/>
    <col min="14847" max="14847" width="15.5703125" style="29" customWidth="1"/>
    <col min="14848" max="15090" width="9.140625" style="29"/>
    <col min="15091" max="15091" width="3.7109375" style="29" customWidth="1"/>
    <col min="15092" max="15092" width="12.85546875" style="29" customWidth="1"/>
    <col min="15093" max="15093" width="37.5703125" style="29" bestFit="1" customWidth="1"/>
    <col min="15094" max="15094" width="13.85546875" style="29" customWidth="1"/>
    <col min="15095" max="15095" width="13" style="29" customWidth="1"/>
    <col min="15096" max="15096" width="13.42578125" style="29" customWidth="1"/>
    <col min="15097" max="15097" width="11.28515625" style="29" customWidth="1"/>
    <col min="15098" max="15098" width="20.85546875" style="29" bestFit="1" customWidth="1"/>
    <col min="15099" max="15099" width="13.28515625" style="29" customWidth="1"/>
    <col min="15100" max="15100" width="19.7109375" style="29" customWidth="1"/>
    <col min="15101" max="15101" width="11.5703125" style="29" customWidth="1"/>
    <col min="15102" max="15102" width="23.28515625" style="29" customWidth="1"/>
    <col min="15103" max="15103" width="15.5703125" style="29" customWidth="1"/>
    <col min="15104" max="15346" width="9.140625" style="29"/>
    <col min="15347" max="15347" width="3.7109375" style="29" customWidth="1"/>
    <col min="15348" max="15348" width="12.85546875" style="29" customWidth="1"/>
    <col min="15349" max="15349" width="37.5703125" style="29" bestFit="1" customWidth="1"/>
    <col min="15350" max="15350" width="13.85546875" style="29" customWidth="1"/>
    <col min="15351" max="15351" width="13" style="29" customWidth="1"/>
    <col min="15352" max="15352" width="13.42578125" style="29" customWidth="1"/>
    <col min="15353" max="15353" width="11.28515625" style="29" customWidth="1"/>
    <col min="15354" max="15354" width="20.85546875" style="29" bestFit="1" customWidth="1"/>
    <col min="15355" max="15355" width="13.28515625" style="29" customWidth="1"/>
    <col min="15356" max="15356" width="19.7109375" style="29" customWidth="1"/>
    <col min="15357" max="15357" width="11.5703125" style="29" customWidth="1"/>
    <col min="15358" max="15358" width="23.28515625" style="29" customWidth="1"/>
    <col min="15359" max="15359" width="15.5703125" style="29" customWidth="1"/>
    <col min="15360" max="15602" width="9.140625" style="29"/>
    <col min="15603" max="15603" width="3.7109375" style="29" customWidth="1"/>
    <col min="15604" max="15604" width="12.85546875" style="29" customWidth="1"/>
    <col min="15605" max="15605" width="37.5703125" style="29" bestFit="1" customWidth="1"/>
    <col min="15606" max="15606" width="13.85546875" style="29" customWidth="1"/>
    <col min="15607" max="15607" width="13" style="29" customWidth="1"/>
    <col min="15608" max="15608" width="13.42578125" style="29" customWidth="1"/>
    <col min="15609" max="15609" width="11.28515625" style="29" customWidth="1"/>
    <col min="15610" max="15610" width="20.85546875" style="29" bestFit="1" customWidth="1"/>
    <col min="15611" max="15611" width="13.28515625" style="29" customWidth="1"/>
    <col min="15612" max="15612" width="19.7109375" style="29" customWidth="1"/>
    <col min="15613" max="15613" width="11.5703125" style="29" customWidth="1"/>
    <col min="15614" max="15614" width="23.28515625" style="29" customWidth="1"/>
    <col min="15615" max="15615" width="15.5703125" style="29" customWidth="1"/>
    <col min="15616" max="15858" width="9.140625" style="29"/>
    <col min="15859" max="15859" width="3.7109375" style="29" customWidth="1"/>
    <col min="15860" max="15860" width="12.85546875" style="29" customWidth="1"/>
    <col min="15861" max="15861" width="37.5703125" style="29" bestFit="1" customWidth="1"/>
    <col min="15862" max="15862" width="13.85546875" style="29" customWidth="1"/>
    <col min="15863" max="15863" width="13" style="29" customWidth="1"/>
    <col min="15864" max="15864" width="13.42578125" style="29" customWidth="1"/>
    <col min="15865" max="15865" width="11.28515625" style="29" customWidth="1"/>
    <col min="15866" max="15866" width="20.85546875" style="29" bestFit="1" customWidth="1"/>
    <col min="15867" max="15867" width="13.28515625" style="29" customWidth="1"/>
    <col min="15868" max="15868" width="19.7109375" style="29" customWidth="1"/>
    <col min="15869" max="15869" width="11.5703125" style="29" customWidth="1"/>
    <col min="15870" max="15870" width="23.28515625" style="29" customWidth="1"/>
    <col min="15871" max="15871" width="15.5703125" style="29" customWidth="1"/>
    <col min="15872" max="16114" width="9.140625" style="29"/>
    <col min="16115" max="16115" width="3.7109375" style="29" customWidth="1"/>
    <col min="16116" max="16116" width="12.85546875" style="29" customWidth="1"/>
    <col min="16117" max="16117" width="37.5703125" style="29" bestFit="1" customWidth="1"/>
    <col min="16118" max="16118" width="13.85546875" style="29" customWidth="1"/>
    <col min="16119" max="16119" width="13" style="29" customWidth="1"/>
    <col min="16120" max="16120" width="13.42578125" style="29" customWidth="1"/>
    <col min="16121" max="16121" width="11.28515625" style="29" customWidth="1"/>
    <col min="16122" max="16122" width="20.85546875" style="29" bestFit="1" customWidth="1"/>
    <col min="16123" max="16123" width="13.28515625" style="29" customWidth="1"/>
    <col min="16124" max="16124" width="19.7109375" style="29" customWidth="1"/>
    <col min="16125" max="16125" width="11.5703125" style="29" customWidth="1"/>
    <col min="16126" max="16126" width="23.28515625" style="29" customWidth="1"/>
    <col min="16127" max="16127" width="15.5703125" style="29" customWidth="1"/>
    <col min="16128" max="16384" width="9.140625" style="29"/>
  </cols>
  <sheetData>
    <row r="1" spans="1:8" ht="15.75" x14ac:dyDescent="0.2">
      <c r="A1" s="220" t="s">
        <v>169</v>
      </c>
      <c r="B1" s="221"/>
      <c r="C1" s="221"/>
      <c r="D1" s="221"/>
      <c r="E1" s="221"/>
    </row>
    <row r="2" spans="1:8" x14ac:dyDescent="0.2">
      <c r="A2" s="12"/>
      <c r="B2" s="12"/>
      <c r="C2" s="46"/>
      <c r="D2" s="46"/>
      <c r="E2" s="159"/>
    </row>
    <row r="3" spans="1:8" s="44" customFormat="1" ht="22.5" x14ac:dyDescent="0.25">
      <c r="A3" s="42" t="s">
        <v>126</v>
      </c>
      <c r="B3" s="42" t="s">
        <v>58</v>
      </c>
      <c r="C3" s="42" t="s">
        <v>125</v>
      </c>
      <c r="D3" s="42" t="s">
        <v>164</v>
      </c>
      <c r="E3" s="43" t="s">
        <v>159</v>
      </c>
    </row>
    <row r="4" spans="1:8" ht="12.75" customHeight="1" x14ac:dyDescent="0.2">
      <c r="A4" s="222" t="s">
        <v>136</v>
      </c>
      <c r="B4" s="30" t="s">
        <v>50</v>
      </c>
      <c r="C4" s="223" t="s">
        <v>42</v>
      </c>
      <c r="D4" s="215">
        <f>'2019-ამბულატორია'!R4:R5</f>
        <v>52550</v>
      </c>
      <c r="E4" s="225">
        <v>42900</v>
      </c>
      <c r="G4" s="45" t="e">
        <f>E4+E6+E15+E16+E23+E26+E29+E34+E38+E42+E45+#REF!+#REF!+#REF!+E70+E73+E75+E76</f>
        <v>#REF!</v>
      </c>
      <c r="H4" s="45">
        <f>E4+E6+E15+E16+E23+E26+E29+E34+E38+E42+E45+E51+E56+E65+E70+E73+E75+E76</f>
        <v>483640</v>
      </c>
    </row>
    <row r="5" spans="1:8" ht="12.75" customHeight="1" x14ac:dyDescent="0.2">
      <c r="A5" s="222"/>
      <c r="B5" s="30" t="s">
        <v>51</v>
      </c>
      <c r="C5" s="224"/>
      <c r="D5" s="216"/>
      <c r="E5" s="226"/>
    </row>
    <row r="6" spans="1:8" ht="12.75" customHeight="1" x14ac:dyDescent="0.2">
      <c r="A6" s="222"/>
      <c r="B6" s="30" t="s">
        <v>52</v>
      </c>
      <c r="C6" s="232" t="s">
        <v>238</v>
      </c>
      <c r="D6" s="219">
        <f>'2019-ამბულატორია'!R6:R7</f>
        <v>21450</v>
      </c>
      <c r="E6" s="225">
        <v>108500</v>
      </c>
      <c r="G6" s="29" t="e">
        <f>G4*2</f>
        <v>#REF!</v>
      </c>
      <c r="H6" s="29">
        <f>H4*9</f>
        <v>4352760</v>
      </c>
    </row>
    <row r="7" spans="1:8" ht="12.75" customHeight="1" x14ac:dyDescent="0.2">
      <c r="A7" s="222"/>
      <c r="B7" s="30" t="s">
        <v>53</v>
      </c>
      <c r="C7" s="233"/>
      <c r="D7" s="219"/>
      <c r="E7" s="227"/>
    </row>
    <row r="8" spans="1:8" ht="12.75" customHeight="1" x14ac:dyDescent="0.2">
      <c r="A8" s="222"/>
      <c r="B8" s="30" t="s">
        <v>55</v>
      </c>
      <c r="C8" s="230" t="s">
        <v>205</v>
      </c>
      <c r="D8" s="219">
        <f>'2019-ამბულატორია'!R8:R9</f>
        <v>14050</v>
      </c>
      <c r="E8" s="227"/>
    </row>
    <row r="9" spans="1:8" ht="12.75" customHeight="1" x14ac:dyDescent="0.2">
      <c r="A9" s="222"/>
      <c r="B9" s="30" t="s">
        <v>56</v>
      </c>
      <c r="C9" s="231"/>
      <c r="D9" s="219"/>
      <c r="E9" s="227"/>
    </row>
    <row r="10" spans="1:8" ht="12.75" customHeight="1" x14ac:dyDescent="0.2">
      <c r="A10" s="222"/>
      <c r="B10" s="30" t="s">
        <v>54</v>
      </c>
      <c r="C10" s="249" t="s">
        <v>160</v>
      </c>
      <c r="D10" s="212">
        <f>'2019-ამბულატორია'!R10:R14</f>
        <v>96050</v>
      </c>
      <c r="E10" s="227"/>
      <c r="F10" s="45"/>
      <c r="G10" s="96" t="e">
        <f>G6+H6+H10</f>
        <v>#REF!</v>
      </c>
      <c r="H10" s="29">
        <v>243380</v>
      </c>
    </row>
    <row r="11" spans="1:8" ht="12.75" customHeight="1" x14ac:dyDescent="0.2">
      <c r="A11" s="222"/>
      <c r="B11" s="30" t="s">
        <v>57</v>
      </c>
      <c r="C11" s="249"/>
      <c r="D11" s="217"/>
      <c r="E11" s="227"/>
    </row>
    <row r="12" spans="1:8" ht="12.75" customHeight="1" x14ac:dyDescent="0.2">
      <c r="A12" s="222"/>
      <c r="B12" s="30" t="s">
        <v>166</v>
      </c>
      <c r="C12" s="249"/>
      <c r="D12" s="217"/>
      <c r="E12" s="227"/>
    </row>
    <row r="13" spans="1:8" ht="12.75" customHeight="1" x14ac:dyDescent="0.2">
      <c r="A13" s="222"/>
      <c r="B13" s="30" t="s">
        <v>165</v>
      </c>
      <c r="C13" s="249"/>
      <c r="D13" s="217"/>
      <c r="E13" s="227"/>
    </row>
    <row r="14" spans="1:8" ht="12.75" customHeight="1" x14ac:dyDescent="0.2">
      <c r="A14" s="222"/>
      <c r="B14" s="156" t="s">
        <v>80</v>
      </c>
      <c r="C14" s="249"/>
      <c r="D14" s="218"/>
      <c r="E14" s="226"/>
    </row>
    <row r="15" spans="1:8" ht="25.5" customHeight="1" x14ac:dyDescent="0.2">
      <c r="A15" s="222"/>
      <c r="B15" s="32" t="s">
        <v>59</v>
      </c>
      <c r="C15" s="169" t="s">
        <v>60</v>
      </c>
      <c r="D15" s="170">
        <f>'2019-ამბულატორია'!R15</f>
        <v>5250</v>
      </c>
      <c r="E15" s="154">
        <v>1600</v>
      </c>
    </row>
    <row r="16" spans="1:8" ht="30" x14ac:dyDescent="0.2">
      <c r="A16" s="235" t="s">
        <v>110</v>
      </c>
      <c r="B16" s="167" t="s">
        <v>143</v>
      </c>
      <c r="C16" s="232" t="s">
        <v>43</v>
      </c>
      <c r="D16" s="212">
        <f>'2019-ამბულატორია'!R16:R22</f>
        <v>67260</v>
      </c>
      <c r="E16" s="228">
        <v>54900</v>
      </c>
    </row>
    <row r="17" spans="1:10" x14ac:dyDescent="0.2">
      <c r="A17" s="213"/>
      <c r="B17" s="167" t="s">
        <v>62</v>
      </c>
      <c r="C17" s="236"/>
      <c r="D17" s="213"/>
      <c r="E17" s="234"/>
    </row>
    <row r="18" spans="1:10" x14ac:dyDescent="0.2">
      <c r="A18" s="213"/>
      <c r="B18" s="167" t="s">
        <v>63</v>
      </c>
      <c r="C18" s="236"/>
      <c r="D18" s="213"/>
      <c r="E18" s="234"/>
    </row>
    <row r="19" spans="1:10" x14ac:dyDescent="0.2">
      <c r="A19" s="213"/>
      <c r="B19" s="167" t="s">
        <v>64</v>
      </c>
      <c r="C19" s="236"/>
      <c r="D19" s="213"/>
      <c r="E19" s="234"/>
    </row>
    <row r="20" spans="1:10" x14ac:dyDescent="0.2">
      <c r="A20" s="213"/>
      <c r="B20" s="167" t="s">
        <v>65</v>
      </c>
      <c r="C20" s="236"/>
      <c r="D20" s="213"/>
      <c r="E20" s="234"/>
    </row>
    <row r="21" spans="1:10" x14ac:dyDescent="0.2">
      <c r="A21" s="213"/>
      <c r="B21" s="167" t="s">
        <v>66</v>
      </c>
      <c r="C21" s="236"/>
      <c r="D21" s="213"/>
      <c r="E21" s="234"/>
    </row>
    <row r="22" spans="1:10" x14ac:dyDescent="0.2">
      <c r="A22" s="214"/>
      <c r="B22" s="167" t="s">
        <v>67</v>
      </c>
      <c r="C22" s="233"/>
      <c r="D22" s="214"/>
      <c r="E22" s="229"/>
    </row>
    <row r="23" spans="1:10" x14ac:dyDescent="0.2">
      <c r="A23" s="235" t="s">
        <v>111</v>
      </c>
      <c r="B23" s="167" t="s">
        <v>135</v>
      </c>
      <c r="C23" s="232" t="s">
        <v>71</v>
      </c>
      <c r="D23" s="212">
        <f>'2019-ამბულატორია'!R23:R25</f>
        <v>33330</v>
      </c>
      <c r="E23" s="228">
        <v>27300</v>
      </c>
    </row>
    <row r="24" spans="1:10" x14ac:dyDescent="0.2">
      <c r="A24" s="213"/>
      <c r="B24" s="167" t="s">
        <v>68</v>
      </c>
      <c r="C24" s="236"/>
      <c r="D24" s="213"/>
      <c r="E24" s="234"/>
    </row>
    <row r="25" spans="1:10" x14ac:dyDescent="0.2">
      <c r="A25" s="213"/>
      <c r="B25" s="167" t="s">
        <v>69</v>
      </c>
      <c r="C25" s="233"/>
      <c r="D25" s="214"/>
      <c r="E25" s="229"/>
    </row>
    <row r="26" spans="1:10" x14ac:dyDescent="0.2">
      <c r="A26" s="214"/>
      <c r="B26" s="167" t="s">
        <v>70</v>
      </c>
      <c r="C26" s="232" t="s">
        <v>78</v>
      </c>
      <c r="D26" s="212">
        <f>'2019-ამბულატორია'!R26:R28</f>
        <v>13700</v>
      </c>
      <c r="E26" s="228">
        <v>11300</v>
      </c>
    </row>
    <row r="27" spans="1:10" ht="25.5" x14ac:dyDescent="0.2">
      <c r="A27" s="155" t="s">
        <v>112</v>
      </c>
      <c r="B27" s="168" t="s">
        <v>144</v>
      </c>
      <c r="C27" s="236"/>
      <c r="D27" s="213"/>
      <c r="E27" s="234"/>
      <c r="G27" s="45"/>
      <c r="H27" s="45"/>
    </row>
    <row r="28" spans="1:10" ht="12.75" customHeight="1" x14ac:dyDescent="0.2">
      <c r="A28" s="222" t="s">
        <v>113</v>
      </c>
      <c r="B28" s="30" t="s">
        <v>76</v>
      </c>
      <c r="C28" s="233"/>
      <c r="D28" s="214"/>
      <c r="E28" s="229"/>
    </row>
    <row r="29" spans="1:10" ht="12.75" customHeight="1" x14ac:dyDescent="0.2">
      <c r="A29" s="222"/>
      <c r="B29" s="194" t="s">
        <v>72</v>
      </c>
      <c r="C29" s="252" t="s">
        <v>247</v>
      </c>
      <c r="D29" s="212">
        <f>'2019-ამბულატორია'!R29:R33</f>
        <v>21500</v>
      </c>
      <c r="E29" s="243">
        <v>17520</v>
      </c>
      <c r="J29" s="29" t="s">
        <v>245</v>
      </c>
    </row>
    <row r="30" spans="1:10" x14ac:dyDescent="0.2">
      <c r="A30" s="222"/>
      <c r="B30" s="167" t="s">
        <v>73</v>
      </c>
      <c r="C30" s="253"/>
      <c r="D30" s="213"/>
      <c r="E30" s="244"/>
      <c r="J30" s="29" t="s">
        <v>246</v>
      </c>
    </row>
    <row r="31" spans="1:10" x14ac:dyDescent="0.2">
      <c r="A31" s="222"/>
      <c r="B31" s="167" t="s">
        <v>74</v>
      </c>
      <c r="C31" s="253"/>
      <c r="D31" s="213"/>
      <c r="E31" s="244"/>
      <c r="J31" s="29" t="s">
        <v>246</v>
      </c>
    </row>
    <row r="32" spans="1:10" x14ac:dyDescent="0.2">
      <c r="A32" s="222"/>
      <c r="B32" s="167" t="s">
        <v>75</v>
      </c>
      <c r="C32" s="253"/>
      <c r="D32" s="213"/>
      <c r="E32" s="244"/>
      <c r="J32" s="29" t="s">
        <v>245</v>
      </c>
    </row>
    <row r="33" spans="1:10" x14ac:dyDescent="0.2">
      <c r="A33" s="222"/>
      <c r="B33" s="167" t="s">
        <v>77</v>
      </c>
      <c r="C33" s="254"/>
      <c r="D33" s="214"/>
      <c r="E33" s="245"/>
      <c r="J33" s="29" t="s">
        <v>246</v>
      </c>
    </row>
    <row r="34" spans="1:10" ht="12.75" customHeight="1" x14ac:dyDescent="0.2">
      <c r="A34" s="235" t="s">
        <v>114</v>
      </c>
      <c r="B34" s="30" t="s">
        <v>81</v>
      </c>
      <c r="C34" s="232" t="s">
        <v>85</v>
      </c>
      <c r="D34" s="212">
        <f>'2019-ამბულატორია'!R34:R37</f>
        <v>15000</v>
      </c>
      <c r="E34" s="237">
        <v>12240</v>
      </c>
    </row>
    <row r="35" spans="1:10" ht="12.75" customHeight="1" x14ac:dyDescent="0.2">
      <c r="A35" s="213"/>
      <c r="B35" s="30" t="s">
        <v>82</v>
      </c>
      <c r="C35" s="236"/>
      <c r="D35" s="213"/>
      <c r="E35" s="238"/>
    </row>
    <row r="36" spans="1:10" ht="12.75" customHeight="1" x14ac:dyDescent="0.2">
      <c r="A36" s="213"/>
      <c r="B36" s="30" t="s">
        <v>83</v>
      </c>
      <c r="C36" s="236"/>
      <c r="D36" s="213"/>
      <c r="E36" s="238"/>
    </row>
    <row r="37" spans="1:10" ht="12.75" customHeight="1" x14ac:dyDescent="0.2">
      <c r="A37" s="214"/>
      <c r="B37" s="30" t="s">
        <v>84</v>
      </c>
      <c r="C37" s="233"/>
      <c r="D37" s="214"/>
      <c r="E37" s="239"/>
    </row>
    <row r="38" spans="1:10" ht="12.75" customHeight="1" x14ac:dyDescent="0.2">
      <c r="A38" s="235" t="s">
        <v>109</v>
      </c>
      <c r="B38" s="30" t="s">
        <v>86</v>
      </c>
      <c r="C38" s="232" t="s">
        <v>93</v>
      </c>
      <c r="D38" s="212">
        <f>'2019-ამბულატორია'!R38:R41</f>
        <v>27600</v>
      </c>
      <c r="E38" s="237">
        <v>22520</v>
      </c>
    </row>
    <row r="39" spans="1:10" ht="12.75" customHeight="1" x14ac:dyDescent="0.2">
      <c r="A39" s="213"/>
      <c r="B39" s="30" t="s">
        <v>87</v>
      </c>
      <c r="C39" s="236"/>
      <c r="D39" s="213"/>
      <c r="E39" s="238"/>
    </row>
    <row r="40" spans="1:10" ht="12.75" customHeight="1" x14ac:dyDescent="0.2">
      <c r="A40" s="213"/>
      <c r="B40" s="30" t="s">
        <v>88</v>
      </c>
      <c r="C40" s="236"/>
      <c r="D40" s="213"/>
      <c r="E40" s="238"/>
    </row>
    <row r="41" spans="1:10" ht="12.75" customHeight="1" x14ac:dyDescent="0.2">
      <c r="A41" s="213"/>
      <c r="B41" s="30" t="s">
        <v>89</v>
      </c>
      <c r="C41" s="233"/>
      <c r="D41" s="214"/>
      <c r="E41" s="239"/>
    </row>
    <row r="42" spans="1:10" ht="12.75" customHeight="1" x14ac:dyDescent="0.2">
      <c r="A42" s="213"/>
      <c r="B42" s="30" t="s">
        <v>90</v>
      </c>
      <c r="C42" s="232" t="s">
        <v>94</v>
      </c>
      <c r="D42" s="212">
        <f>'2019-ამბულატორია'!R42:R44</f>
        <v>14700</v>
      </c>
      <c r="E42" s="228">
        <v>12020</v>
      </c>
    </row>
    <row r="43" spans="1:10" ht="12.75" customHeight="1" x14ac:dyDescent="0.2">
      <c r="A43" s="213"/>
      <c r="B43" s="30" t="s">
        <v>91</v>
      </c>
      <c r="C43" s="236"/>
      <c r="D43" s="213"/>
      <c r="E43" s="234"/>
    </row>
    <row r="44" spans="1:10" ht="12.75" customHeight="1" x14ac:dyDescent="0.2">
      <c r="A44" s="214"/>
      <c r="B44" s="30" t="s">
        <v>92</v>
      </c>
      <c r="C44" s="233"/>
      <c r="D44" s="214"/>
      <c r="E44" s="229"/>
    </row>
    <row r="45" spans="1:10" ht="12.75" customHeight="1" x14ac:dyDescent="0.2">
      <c r="A45" s="222" t="s">
        <v>112</v>
      </c>
      <c r="B45" s="30" t="s">
        <v>97</v>
      </c>
      <c r="C45" s="232" t="s">
        <v>41</v>
      </c>
      <c r="D45" s="212">
        <f>'2019-ამბულატორია'!R45:R50</f>
        <v>34600</v>
      </c>
      <c r="E45" s="228">
        <v>28230</v>
      </c>
    </row>
    <row r="46" spans="1:10" ht="12.75" customHeight="1" x14ac:dyDescent="0.2">
      <c r="A46" s="222"/>
      <c r="B46" s="27" t="s">
        <v>144</v>
      </c>
      <c r="C46" s="236"/>
      <c r="D46" s="213"/>
      <c r="E46" s="234"/>
    </row>
    <row r="47" spans="1:10" ht="12.75" customHeight="1" x14ac:dyDescent="0.2">
      <c r="A47" s="222"/>
      <c r="B47" s="30" t="s">
        <v>100</v>
      </c>
      <c r="C47" s="236"/>
      <c r="D47" s="213"/>
      <c r="E47" s="234"/>
    </row>
    <row r="48" spans="1:10" ht="12.75" customHeight="1" x14ac:dyDescent="0.2">
      <c r="A48" s="222"/>
      <c r="B48" s="30" t="s">
        <v>102</v>
      </c>
      <c r="C48" s="236"/>
      <c r="D48" s="213"/>
      <c r="E48" s="234"/>
    </row>
    <row r="49" spans="1:7" ht="12.75" customHeight="1" x14ac:dyDescent="0.2">
      <c r="A49" s="222"/>
      <c r="B49" s="30" t="s">
        <v>96</v>
      </c>
      <c r="C49" s="236"/>
      <c r="D49" s="213"/>
      <c r="E49" s="234"/>
    </row>
    <row r="50" spans="1:7" ht="12.75" customHeight="1" x14ac:dyDescent="0.2">
      <c r="A50" s="222"/>
      <c r="B50" s="30" t="s">
        <v>99</v>
      </c>
      <c r="C50" s="233"/>
      <c r="D50" s="214"/>
      <c r="E50" s="229"/>
    </row>
    <row r="51" spans="1:7" ht="12.75" customHeight="1" x14ac:dyDescent="0.2">
      <c r="A51" s="222"/>
      <c r="B51" s="156" t="s">
        <v>103</v>
      </c>
      <c r="C51" s="232" t="s">
        <v>206</v>
      </c>
      <c r="D51" s="212">
        <f>'2019-ამბულატორია'!R51:R55</f>
        <v>14250</v>
      </c>
      <c r="E51" s="228">
        <v>11620</v>
      </c>
    </row>
    <row r="52" spans="1:7" ht="12.75" customHeight="1" x14ac:dyDescent="0.2">
      <c r="A52" s="222"/>
      <c r="B52" s="30" t="s">
        <v>167</v>
      </c>
      <c r="C52" s="236"/>
      <c r="D52" s="213"/>
      <c r="E52" s="234"/>
    </row>
    <row r="53" spans="1:7" ht="12.75" customHeight="1" x14ac:dyDescent="0.2">
      <c r="A53" s="222" t="s">
        <v>104</v>
      </c>
      <c r="B53" s="30" t="s">
        <v>108</v>
      </c>
      <c r="C53" s="236"/>
      <c r="D53" s="213"/>
      <c r="E53" s="234"/>
    </row>
    <row r="54" spans="1:7" ht="12.75" customHeight="1" x14ac:dyDescent="0.2">
      <c r="A54" s="222"/>
      <c r="B54" s="30" t="s">
        <v>106</v>
      </c>
      <c r="C54" s="236"/>
      <c r="D54" s="213"/>
      <c r="E54" s="234"/>
      <c r="G54" s="45"/>
    </row>
    <row r="55" spans="1:7" ht="25.5" x14ac:dyDescent="0.2">
      <c r="A55" s="155" t="s">
        <v>124</v>
      </c>
      <c r="B55" s="156" t="s">
        <v>119</v>
      </c>
      <c r="C55" s="233"/>
      <c r="D55" s="214"/>
      <c r="E55" s="229"/>
    </row>
    <row r="56" spans="1:7" ht="12.75" customHeight="1" x14ac:dyDescent="0.2">
      <c r="A56" s="235" t="s">
        <v>112</v>
      </c>
      <c r="B56" s="79" t="s">
        <v>134</v>
      </c>
      <c r="C56" s="249" t="s">
        <v>179</v>
      </c>
      <c r="D56" s="212">
        <f>'2019-ამბულატორია'!R56:R62</f>
        <v>37250</v>
      </c>
      <c r="E56" s="246">
        <v>36490</v>
      </c>
    </row>
    <row r="57" spans="1:7" ht="12.75" customHeight="1" x14ac:dyDescent="0.2">
      <c r="A57" s="213"/>
      <c r="B57" s="79" t="s">
        <v>95</v>
      </c>
      <c r="C57" s="249"/>
      <c r="D57" s="213"/>
      <c r="E57" s="246"/>
    </row>
    <row r="58" spans="1:7" ht="12.75" customHeight="1" x14ac:dyDescent="0.2">
      <c r="A58" s="213"/>
      <c r="B58" s="79" t="s">
        <v>168</v>
      </c>
      <c r="C58" s="249"/>
      <c r="D58" s="213"/>
      <c r="E58" s="246"/>
    </row>
    <row r="59" spans="1:7" ht="12.75" customHeight="1" x14ac:dyDescent="0.2">
      <c r="A59" s="213"/>
      <c r="B59" s="79" t="s">
        <v>207</v>
      </c>
      <c r="C59" s="249"/>
      <c r="D59" s="213"/>
      <c r="E59" s="246"/>
    </row>
    <row r="60" spans="1:7" ht="12.75" customHeight="1" x14ac:dyDescent="0.2">
      <c r="A60" s="214"/>
      <c r="B60" s="79" t="s">
        <v>209</v>
      </c>
      <c r="C60" s="249"/>
      <c r="D60" s="213"/>
      <c r="E60" s="246"/>
    </row>
    <row r="61" spans="1:7" ht="12.75" x14ac:dyDescent="0.2">
      <c r="A61" s="247" t="s">
        <v>104</v>
      </c>
      <c r="B61" s="95" t="s">
        <v>105</v>
      </c>
      <c r="C61" s="249"/>
      <c r="D61" s="213"/>
      <c r="E61" s="246"/>
    </row>
    <row r="62" spans="1:7" ht="25.5" customHeight="1" x14ac:dyDescent="0.2">
      <c r="A62" s="247"/>
      <c r="B62" s="95" t="s">
        <v>107</v>
      </c>
      <c r="C62" s="249"/>
      <c r="D62" s="214"/>
      <c r="E62" s="246"/>
    </row>
    <row r="63" spans="1:7" ht="22.5" customHeight="1" x14ac:dyDescent="0.2">
      <c r="A63" s="248" t="s">
        <v>104</v>
      </c>
      <c r="B63" s="79" t="s">
        <v>208</v>
      </c>
      <c r="C63" s="230" t="s">
        <v>211</v>
      </c>
      <c r="D63" s="212">
        <f>'2019-ამბულატორია'!R63:R64</f>
        <v>9000</v>
      </c>
      <c r="E63" s="157"/>
    </row>
    <row r="64" spans="1:7" ht="29.25" customHeight="1" x14ac:dyDescent="0.2">
      <c r="A64" s="216"/>
      <c r="B64" s="79" t="s">
        <v>210</v>
      </c>
      <c r="C64" s="231"/>
      <c r="D64" s="213"/>
      <c r="E64" s="157"/>
    </row>
    <row r="65" spans="1:7" ht="12.75" customHeight="1" x14ac:dyDescent="0.2">
      <c r="A65" s="222" t="s">
        <v>124</v>
      </c>
      <c r="B65" s="12" t="s">
        <v>116</v>
      </c>
      <c r="C65" s="232" t="s">
        <v>237</v>
      </c>
      <c r="D65" s="212">
        <f>'2019-ამბულატორია'!R65:R69</f>
        <v>24750</v>
      </c>
      <c r="E65" s="228">
        <v>20200</v>
      </c>
    </row>
    <row r="66" spans="1:7" ht="12.75" customHeight="1" x14ac:dyDescent="0.2">
      <c r="A66" s="222"/>
      <c r="B66" s="12" t="s">
        <v>118</v>
      </c>
      <c r="C66" s="236"/>
      <c r="D66" s="213"/>
      <c r="E66" s="234"/>
      <c r="G66" s="45"/>
    </row>
    <row r="67" spans="1:7" ht="12.75" customHeight="1" x14ac:dyDescent="0.2">
      <c r="A67" s="222"/>
      <c r="B67" s="12" t="s">
        <v>115</v>
      </c>
      <c r="C67" s="236"/>
      <c r="D67" s="213"/>
      <c r="E67" s="234"/>
    </row>
    <row r="68" spans="1:7" ht="12.75" customHeight="1" x14ac:dyDescent="0.2">
      <c r="A68" s="222"/>
      <c r="B68" s="12" t="s">
        <v>121</v>
      </c>
      <c r="C68" s="236"/>
      <c r="D68" s="213"/>
      <c r="E68" s="234"/>
    </row>
    <row r="69" spans="1:7" ht="12.75" customHeight="1" x14ac:dyDescent="0.2">
      <c r="A69" s="222"/>
      <c r="B69" s="12" t="s">
        <v>122</v>
      </c>
      <c r="C69" s="233"/>
      <c r="D69" s="214"/>
      <c r="E69" s="229"/>
    </row>
    <row r="70" spans="1:7" ht="12.75" customHeight="1" x14ac:dyDescent="0.2">
      <c r="A70" s="222"/>
      <c r="B70" s="12" t="s">
        <v>117</v>
      </c>
      <c r="C70" s="236" t="s">
        <v>41</v>
      </c>
      <c r="D70" s="212">
        <f>'2019-ამბულატორია'!R70:R72</f>
        <v>22300</v>
      </c>
      <c r="E70" s="228">
        <v>18300</v>
      </c>
    </row>
    <row r="71" spans="1:7" ht="12.75" customHeight="1" x14ac:dyDescent="0.2">
      <c r="A71" s="222"/>
      <c r="B71" s="12" t="s">
        <v>120</v>
      </c>
      <c r="C71" s="236"/>
      <c r="D71" s="213"/>
      <c r="E71" s="234"/>
    </row>
    <row r="72" spans="1:7" ht="12.75" customHeight="1" x14ac:dyDescent="0.2">
      <c r="A72" s="222"/>
      <c r="B72" s="12" t="s">
        <v>123</v>
      </c>
      <c r="C72" s="233"/>
      <c r="D72" s="214"/>
      <c r="E72" s="229"/>
    </row>
    <row r="73" spans="1:7" ht="12.75" customHeight="1" x14ac:dyDescent="0.2">
      <c r="A73" s="235" t="s">
        <v>131</v>
      </c>
      <c r="B73" s="12" t="s">
        <v>127</v>
      </c>
      <c r="C73" s="232" t="s">
        <v>130</v>
      </c>
      <c r="D73" s="212">
        <f>'2019-ამბულატორია'!R73:R74</f>
        <v>13000</v>
      </c>
      <c r="E73" s="228">
        <v>10600</v>
      </c>
    </row>
    <row r="74" spans="1:7" ht="12.75" customHeight="1" x14ac:dyDescent="0.2">
      <c r="A74" s="213"/>
      <c r="B74" s="12" t="s">
        <v>129</v>
      </c>
      <c r="C74" s="233"/>
      <c r="D74" s="214"/>
      <c r="E74" s="234"/>
    </row>
    <row r="75" spans="1:7" ht="25.5" x14ac:dyDescent="0.2">
      <c r="A75" s="214"/>
      <c r="B75" s="35" t="s">
        <v>128</v>
      </c>
      <c r="C75" s="156" t="s">
        <v>132</v>
      </c>
      <c r="D75" s="158">
        <f>'2019-ამბულატორია'!R75</f>
        <v>9000</v>
      </c>
      <c r="E75" s="39">
        <v>4100</v>
      </c>
    </row>
    <row r="76" spans="1:7" ht="12.75" customHeight="1" x14ac:dyDescent="0.2">
      <c r="A76" s="235" t="s">
        <v>142</v>
      </c>
      <c r="B76" s="12" t="s">
        <v>133</v>
      </c>
      <c r="C76" s="232" t="s">
        <v>177</v>
      </c>
      <c r="D76" s="212">
        <f>'2019-ამბულატორია'!R76:R81</f>
        <v>53000</v>
      </c>
      <c r="E76" s="237">
        <v>43300</v>
      </c>
    </row>
    <row r="77" spans="1:7" ht="12.75" customHeight="1" x14ac:dyDescent="0.2">
      <c r="A77" s="213"/>
      <c r="B77" s="12" t="s">
        <v>137</v>
      </c>
      <c r="C77" s="236"/>
      <c r="D77" s="213"/>
      <c r="E77" s="238"/>
    </row>
    <row r="78" spans="1:7" ht="12.75" customHeight="1" x14ac:dyDescent="0.2">
      <c r="A78" s="213"/>
      <c r="B78" s="12" t="s">
        <v>138</v>
      </c>
      <c r="C78" s="236"/>
      <c r="D78" s="213"/>
      <c r="E78" s="238"/>
    </row>
    <row r="79" spans="1:7" ht="12.75" customHeight="1" x14ac:dyDescent="0.2">
      <c r="A79" s="213"/>
      <c r="B79" s="12" t="s">
        <v>139</v>
      </c>
      <c r="C79" s="236"/>
      <c r="D79" s="213"/>
      <c r="E79" s="238"/>
    </row>
    <row r="80" spans="1:7" ht="12.75" customHeight="1" x14ac:dyDescent="0.2">
      <c r="A80" s="213"/>
      <c r="B80" s="12" t="s">
        <v>140</v>
      </c>
      <c r="C80" s="236"/>
      <c r="D80" s="213"/>
      <c r="E80" s="238"/>
    </row>
    <row r="81" spans="1:10" ht="12.75" customHeight="1" x14ac:dyDescent="0.2">
      <c r="A81" s="214"/>
      <c r="B81" s="12" t="s">
        <v>141</v>
      </c>
      <c r="C81" s="233"/>
      <c r="D81" s="214"/>
      <c r="E81" s="239"/>
    </row>
    <row r="82" spans="1:10" x14ac:dyDescent="0.3">
      <c r="D82" s="45">
        <f>D4+D6+D8+D10+D15+D16+D23+D26+D29+D34+D38+D42+D45+D51+D56+D63+D65+D70+D73+D75+D76</f>
        <v>599590</v>
      </c>
      <c r="E82" s="41"/>
      <c r="F82" s="45"/>
    </row>
    <row r="83" spans="1:10" x14ac:dyDescent="0.2">
      <c r="D83" s="110"/>
      <c r="F83" s="45"/>
    </row>
    <row r="84" spans="1:10" x14ac:dyDescent="0.2">
      <c r="C84" s="28" t="s">
        <v>215</v>
      </c>
      <c r="D84" s="109">
        <v>483880</v>
      </c>
      <c r="F84" s="45">
        <f>D84*3</f>
        <v>1451640</v>
      </c>
    </row>
    <row r="85" spans="1:10" x14ac:dyDescent="0.2">
      <c r="A85" s="29"/>
      <c r="C85" s="47" t="s">
        <v>214</v>
      </c>
      <c r="D85" s="147">
        <f>D82</f>
        <v>599590</v>
      </c>
      <c r="F85" s="45">
        <f>D85*9</f>
        <v>5396310</v>
      </c>
    </row>
    <row r="86" spans="1:10" x14ac:dyDescent="0.2">
      <c r="A86" s="29"/>
      <c r="C86" s="77"/>
      <c r="D86" s="47"/>
      <c r="F86" s="45">
        <f>F84+F85</f>
        <v>6847950</v>
      </c>
      <c r="J86" s="96"/>
    </row>
    <row r="87" spans="1:10" x14ac:dyDescent="0.2">
      <c r="A87" s="29"/>
      <c r="C87" s="47"/>
      <c r="D87" s="147">
        <f>D85-D84</f>
        <v>115710</v>
      </c>
      <c r="E87" s="71"/>
    </row>
    <row r="88" spans="1:10" x14ac:dyDescent="0.2">
      <c r="C88" s="111"/>
      <c r="J88" s="96"/>
    </row>
    <row r="89" spans="1:10" x14ac:dyDescent="0.2">
      <c r="A89" s="29"/>
      <c r="C89" s="112"/>
      <c r="J89" s="97"/>
    </row>
    <row r="90" spans="1:10" x14ac:dyDescent="0.2">
      <c r="C90" s="112"/>
    </row>
  </sheetData>
  <mergeCells count="69">
    <mergeCell ref="E73:E74"/>
    <mergeCell ref="A76:A81"/>
    <mergeCell ref="C76:C81"/>
    <mergeCell ref="D76:D81"/>
    <mergeCell ref="E76:E81"/>
    <mergeCell ref="A73:A75"/>
    <mergeCell ref="C73:C74"/>
    <mergeCell ref="D73:D74"/>
    <mergeCell ref="A63:A64"/>
    <mergeCell ref="C63:C64"/>
    <mergeCell ref="D63:D64"/>
    <mergeCell ref="E65:E69"/>
    <mergeCell ref="C70:C72"/>
    <mergeCell ref="D70:D72"/>
    <mergeCell ref="E70:E72"/>
    <mergeCell ref="A65:A72"/>
    <mergeCell ref="C65:C69"/>
    <mergeCell ref="D65:D69"/>
    <mergeCell ref="A53:A54"/>
    <mergeCell ref="A56:A60"/>
    <mergeCell ref="C56:C62"/>
    <mergeCell ref="E45:E50"/>
    <mergeCell ref="C51:C55"/>
    <mergeCell ref="D51:D55"/>
    <mergeCell ref="E51:E55"/>
    <mergeCell ref="A45:A52"/>
    <mergeCell ref="C45:C50"/>
    <mergeCell ref="D45:D50"/>
    <mergeCell ref="D56:D62"/>
    <mergeCell ref="E56:E62"/>
    <mergeCell ref="A61:A62"/>
    <mergeCell ref="C42:C44"/>
    <mergeCell ref="D42:D44"/>
    <mergeCell ref="E42:E44"/>
    <mergeCell ref="A38:A44"/>
    <mergeCell ref="C38:C41"/>
    <mergeCell ref="D38:D41"/>
    <mergeCell ref="A34:A37"/>
    <mergeCell ref="C34:C37"/>
    <mergeCell ref="D34:D37"/>
    <mergeCell ref="E34:E37"/>
    <mergeCell ref="E38:E41"/>
    <mergeCell ref="A16:A22"/>
    <mergeCell ref="C16:C22"/>
    <mergeCell ref="D16:D22"/>
    <mergeCell ref="E16:E22"/>
    <mergeCell ref="A23:A26"/>
    <mergeCell ref="C23:C25"/>
    <mergeCell ref="D23:D25"/>
    <mergeCell ref="E23:E25"/>
    <mergeCell ref="C26:C28"/>
    <mergeCell ref="D26:D28"/>
    <mergeCell ref="E26:E28"/>
    <mergeCell ref="A28:A33"/>
    <mergeCell ref="C29:C33"/>
    <mergeCell ref="D29:D33"/>
    <mergeCell ref="E29:E33"/>
    <mergeCell ref="A1:E1"/>
    <mergeCell ref="A4:A15"/>
    <mergeCell ref="C4:C5"/>
    <mergeCell ref="D4:D5"/>
    <mergeCell ref="E4:E5"/>
    <mergeCell ref="C6:C7"/>
    <mergeCell ref="D6:D7"/>
    <mergeCell ref="E6:E14"/>
    <mergeCell ref="C8:C9"/>
    <mergeCell ref="D8:D9"/>
    <mergeCell ref="C10:C14"/>
    <mergeCell ref="D10:D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workbookViewId="0">
      <selection activeCell="I6" sqref="I6"/>
    </sheetView>
  </sheetViews>
  <sheetFormatPr defaultRowHeight="15" x14ac:dyDescent="0.3"/>
  <cols>
    <col min="1" max="1" width="9.140625" style="49"/>
    <col min="2" max="2" width="12" style="49" customWidth="1"/>
    <col min="3" max="3" width="46" style="49" customWidth="1"/>
    <col min="4" max="4" width="12.5703125" style="49" customWidth="1"/>
    <col min="5" max="6" width="9.140625" style="49"/>
    <col min="7" max="7" width="13.28515625" style="49" customWidth="1"/>
    <col min="8" max="8" width="9.140625" style="49"/>
    <col min="9" max="9" width="11.42578125" style="49" customWidth="1"/>
    <col min="10" max="10" width="10" style="49" bestFit="1" customWidth="1"/>
    <col min="11" max="11" width="9.140625" style="49"/>
    <col min="12" max="12" width="10" style="49" bestFit="1" customWidth="1"/>
    <col min="13" max="16384" width="9.140625" style="49"/>
  </cols>
  <sheetData>
    <row r="3" spans="2:12" ht="15.75" customHeight="1" x14ac:dyDescent="0.3">
      <c r="B3" s="255" t="s">
        <v>170</v>
      </c>
      <c r="C3" s="255"/>
      <c r="D3" s="255"/>
      <c r="E3" s="255"/>
      <c r="F3" s="255"/>
      <c r="G3" s="255"/>
    </row>
    <row r="4" spans="2:12" ht="38.25" x14ac:dyDescent="0.3">
      <c r="B4" s="52" t="s">
        <v>4</v>
      </c>
      <c r="C4" s="50" t="s">
        <v>3</v>
      </c>
      <c r="D4" s="50" t="s">
        <v>152</v>
      </c>
      <c r="E4" s="50" t="s">
        <v>47</v>
      </c>
      <c r="F4" s="50" t="s">
        <v>154</v>
      </c>
      <c r="G4" s="51" t="s">
        <v>153</v>
      </c>
    </row>
    <row r="5" spans="2:12" x14ac:dyDescent="0.3">
      <c r="B5" s="145" t="s">
        <v>13</v>
      </c>
      <c r="C5" s="21" t="s">
        <v>14</v>
      </c>
      <c r="D5" s="53">
        <f>E5*12</f>
        <v>21552</v>
      </c>
      <c r="E5" s="53">
        <v>1796</v>
      </c>
      <c r="F5" s="54">
        <f>E5+E5*15/100</f>
        <v>2065.4</v>
      </c>
      <c r="G5" s="54">
        <v>2070</v>
      </c>
      <c r="I5" s="148">
        <f>G5+G5*15/100</f>
        <v>2380.5</v>
      </c>
      <c r="J5" s="148">
        <v>2380</v>
      </c>
    </row>
    <row r="6" spans="2:12" ht="30" x14ac:dyDescent="0.3">
      <c r="B6" s="21" t="s">
        <v>15</v>
      </c>
      <c r="C6" s="21" t="s">
        <v>16</v>
      </c>
      <c r="D6" s="53">
        <f>E6*12</f>
        <v>24288</v>
      </c>
      <c r="E6" s="53">
        <v>2024</v>
      </c>
      <c r="F6" s="54">
        <f>E6+E6*10/100</f>
        <v>2226.4</v>
      </c>
      <c r="G6" s="54">
        <v>2230</v>
      </c>
      <c r="I6" s="148">
        <f>G6+G6*15/100</f>
        <v>2564.5</v>
      </c>
      <c r="J6" s="148">
        <v>2500</v>
      </c>
    </row>
    <row r="7" spans="2:12" ht="30" x14ac:dyDescent="0.3">
      <c r="B7" s="21" t="s">
        <v>17</v>
      </c>
      <c r="C7" s="21" t="s">
        <v>18</v>
      </c>
      <c r="D7" s="53">
        <f>E7*12</f>
        <v>24264</v>
      </c>
      <c r="E7" s="53">
        <v>2022</v>
      </c>
      <c r="F7" s="54">
        <f>E7+E7*10/100</f>
        <v>2224.1999999999998</v>
      </c>
      <c r="G7" s="54">
        <v>2230</v>
      </c>
      <c r="I7" s="148">
        <f>G7+G7*15/100</f>
        <v>2564.5</v>
      </c>
      <c r="J7" s="148">
        <v>2500</v>
      </c>
    </row>
    <row r="8" spans="2:12" x14ac:dyDescent="0.3">
      <c r="E8" s="54">
        <f>E5+E6+E7</f>
        <v>5842</v>
      </c>
      <c r="F8" s="54"/>
      <c r="G8" s="54">
        <f>G5+G6+G7</f>
        <v>6530</v>
      </c>
      <c r="J8" s="54">
        <f>J5+J6+J7</f>
        <v>7380</v>
      </c>
    </row>
    <row r="10" spans="2:12" x14ac:dyDescent="0.3">
      <c r="C10" s="47" t="s">
        <v>150</v>
      </c>
      <c r="G10" s="55">
        <f>G8*11</f>
        <v>71830</v>
      </c>
      <c r="J10" s="148">
        <f>J8*11</f>
        <v>81180</v>
      </c>
    </row>
    <row r="11" spans="2:12" x14ac:dyDescent="0.3">
      <c r="C11" s="47" t="s">
        <v>149</v>
      </c>
      <c r="G11" s="55">
        <v>5970</v>
      </c>
      <c r="J11" s="148">
        <f>G8</f>
        <v>6530</v>
      </c>
    </row>
    <row r="12" spans="2:12" x14ac:dyDescent="0.3">
      <c r="C12" s="47" t="s">
        <v>151</v>
      </c>
      <c r="G12" s="55">
        <f>G10+G11</f>
        <v>77800</v>
      </c>
      <c r="J12" s="148">
        <f>J10+J11</f>
        <v>87710</v>
      </c>
      <c r="L12" s="148"/>
    </row>
    <row r="14" spans="2:12" x14ac:dyDescent="0.3">
      <c r="G14" s="99"/>
      <c r="H14" s="100"/>
    </row>
  </sheetData>
  <mergeCells count="1"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7"/>
  <sheetViews>
    <sheetView workbookViewId="0">
      <selection activeCell="B31" sqref="B31"/>
    </sheetView>
  </sheetViews>
  <sheetFormatPr defaultColWidth="27.28515625" defaultRowHeight="12.75" x14ac:dyDescent="0.25"/>
  <cols>
    <col min="1" max="1" width="10.85546875" style="31" customWidth="1"/>
    <col min="2" max="2" width="47.28515625" style="31" customWidth="1"/>
    <col min="3" max="3" width="14.5703125" style="31" bestFit="1" customWidth="1"/>
    <col min="4" max="4" width="14.42578125" style="31" bestFit="1" customWidth="1"/>
    <col min="5" max="5" width="11.140625" style="31" bestFit="1" customWidth="1"/>
    <col min="6" max="6" width="13.5703125" style="31" bestFit="1" customWidth="1"/>
    <col min="7" max="16384" width="27.28515625" style="31"/>
  </cols>
  <sheetData>
    <row r="5" spans="1:8" ht="25.5" x14ac:dyDescent="0.25">
      <c r="A5" s="256" t="s">
        <v>19</v>
      </c>
      <c r="B5" s="256"/>
      <c r="C5" s="50" t="s">
        <v>46</v>
      </c>
      <c r="D5" s="50" t="s">
        <v>47</v>
      </c>
      <c r="E5" s="50"/>
      <c r="F5" s="51"/>
    </row>
    <row r="6" spans="1:8" ht="30" x14ac:dyDescent="0.3">
      <c r="A6" s="257" t="s">
        <v>13</v>
      </c>
      <c r="B6" s="48" t="s">
        <v>20</v>
      </c>
      <c r="C6" s="57">
        <f>D6*12</f>
        <v>236040</v>
      </c>
      <c r="D6" s="57">
        <v>19670</v>
      </c>
      <c r="E6" s="58"/>
      <c r="F6" s="58"/>
    </row>
    <row r="7" spans="1:8" ht="30" x14ac:dyDescent="0.3">
      <c r="A7" s="258"/>
      <c r="B7" s="48" t="s">
        <v>44</v>
      </c>
      <c r="C7" s="57">
        <v>0</v>
      </c>
      <c r="D7" s="57">
        <v>0</v>
      </c>
      <c r="E7" s="58"/>
      <c r="F7" s="58"/>
    </row>
    <row r="8" spans="1:8" ht="30" x14ac:dyDescent="0.3">
      <c r="A8" s="145" t="s">
        <v>15</v>
      </c>
      <c r="B8" s="48" t="s">
        <v>16</v>
      </c>
      <c r="C8" s="57">
        <f>D8*12</f>
        <v>159840</v>
      </c>
      <c r="D8" s="57">
        <v>13320</v>
      </c>
      <c r="E8" s="58"/>
      <c r="F8" s="58"/>
    </row>
    <row r="9" spans="1:8" ht="30" x14ac:dyDescent="0.3">
      <c r="A9" s="145" t="s">
        <v>21</v>
      </c>
      <c r="B9" s="48" t="s">
        <v>22</v>
      </c>
      <c r="C9" s="57">
        <f>D9*12</f>
        <v>137880</v>
      </c>
      <c r="D9" s="57">
        <v>11490</v>
      </c>
      <c r="E9" s="58"/>
      <c r="F9" s="58"/>
    </row>
    <row r="10" spans="1:8" ht="15" x14ac:dyDescent="0.3">
      <c r="A10" s="145" t="s">
        <v>23</v>
      </c>
      <c r="B10" s="48" t="s">
        <v>177</v>
      </c>
      <c r="C10" s="57">
        <f>D10*12</f>
        <v>128520</v>
      </c>
      <c r="D10" s="57">
        <v>10710</v>
      </c>
      <c r="E10" s="58"/>
      <c r="F10" s="58"/>
    </row>
    <row r="11" spans="1:8" x14ac:dyDescent="0.2">
      <c r="C11" s="59"/>
      <c r="D11" s="59">
        <v>55210</v>
      </c>
      <c r="E11" s="59"/>
      <c r="F11" s="59"/>
    </row>
    <row r="13" spans="1:8" x14ac:dyDescent="0.25">
      <c r="B13" s="47" t="s">
        <v>150</v>
      </c>
      <c r="D13" s="77">
        <f>D11*11</f>
        <v>607310</v>
      </c>
      <c r="F13" s="56"/>
      <c r="H13" s="149">
        <f>F11*11</f>
        <v>0</v>
      </c>
    </row>
    <row r="14" spans="1:8" x14ac:dyDescent="0.25">
      <c r="B14" s="47" t="s">
        <v>149</v>
      </c>
      <c r="D14" s="150">
        <f>D11</f>
        <v>55210</v>
      </c>
      <c r="F14" s="56"/>
      <c r="H14" s="150">
        <f>F11</f>
        <v>0</v>
      </c>
    </row>
    <row r="15" spans="1:8" x14ac:dyDescent="0.25">
      <c r="B15" s="47" t="s">
        <v>151</v>
      </c>
      <c r="D15" s="78">
        <v>662300</v>
      </c>
      <c r="F15" s="56"/>
      <c r="H15" s="149">
        <f>H13+H14</f>
        <v>0</v>
      </c>
    </row>
    <row r="17" spans="4:4" x14ac:dyDescent="0.25">
      <c r="D17" s="152">
        <f>D13+D14</f>
        <v>662520</v>
      </c>
    </row>
  </sheetData>
  <mergeCells count="2">
    <mergeCell ref="A5:B5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52" workbookViewId="0">
      <selection activeCell="C78" sqref="C78"/>
    </sheetView>
  </sheetViews>
  <sheetFormatPr defaultRowHeight="12.75" x14ac:dyDescent="0.2"/>
  <cols>
    <col min="1" max="1" width="40.42578125" style="27" customWidth="1"/>
    <col min="2" max="2" width="33.5703125" style="28" customWidth="1"/>
    <col min="3" max="3" width="12.5703125" style="31" customWidth="1"/>
    <col min="4" max="5" width="11.42578125" style="29" customWidth="1"/>
    <col min="6" max="7" width="9.140625" style="29"/>
    <col min="8" max="8" width="12.140625" style="29" customWidth="1"/>
    <col min="9" max="235" width="9.140625" style="29"/>
    <col min="236" max="236" width="3.7109375" style="29" customWidth="1"/>
    <col min="237" max="237" width="12.85546875" style="29" customWidth="1"/>
    <col min="238" max="238" width="37.5703125" style="29" bestFit="1" customWidth="1"/>
    <col min="239" max="239" width="13.85546875" style="29" customWidth="1"/>
    <col min="240" max="240" width="13" style="29" customWidth="1"/>
    <col min="241" max="241" width="13.42578125" style="29" customWidth="1"/>
    <col min="242" max="242" width="11.28515625" style="29" customWidth="1"/>
    <col min="243" max="243" width="20.85546875" style="29" bestFit="1" customWidth="1"/>
    <col min="244" max="244" width="13.28515625" style="29" customWidth="1"/>
    <col min="245" max="245" width="19.7109375" style="29" customWidth="1"/>
    <col min="246" max="246" width="11.5703125" style="29" customWidth="1"/>
    <col min="247" max="247" width="23.28515625" style="29" customWidth="1"/>
    <col min="248" max="248" width="15.5703125" style="29" customWidth="1"/>
    <col min="249" max="491" width="9.140625" style="29"/>
    <col min="492" max="492" width="3.7109375" style="29" customWidth="1"/>
    <col min="493" max="493" width="12.85546875" style="29" customWidth="1"/>
    <col min="494" max="494" width="37.5703125" style="29" bestFit="1" customWidth="1"/>
    <col min="495" max="495" width="13.85546875" style="29" customWidth="1"/>
    <col min="496" max="496" width="13" style="29" customWidth="1"/>
    <col min="497" max="497" width="13.42578125" style="29" customWidth="1"/>
    <col min="498" max="498" width="11.28515625" style="29" customWidth="1"/>
    <col min="499" max="499" width="20.85546875" style="29" bestFit="1" customWidth="1"/>
    <col min="500" max="500" width="13.28515625" style="29" customWidth="1"/>
    <col min="501" max="501" width="19.7109375" style="29" customWidth="1"/>
    <col min="502" max="502" width="11.5703125" style="29" customWidth="1"/>
    <col min="503" max="503" width="23.28515625" style="29" customWidth="1"/>
    <col min="504" max="504" width="15.5703125" style="29" customWidth="1"/>
    <col min="505" max="747" width="9.140625" style="29"/>
    <col min="748" max="748" width="3.7109375" style="29" customWidth="1"/>
    <col min="749" max="749" width="12.85546875" style="29" customWidth="1"/>
    <col min="750" max="750" width="37.5703125" style="29" bestFit="1" customWidth="1"/>
    <col min="751" max="751" width="13.85546875" style="29" customWidth="1"/>
    <col min="752" max="752" width="13" style="29" customWidth="1"/>
    <col min="753" max="753" width="13.42578125" style="29" customWidth="1"/>
    <col min="754" max="754" width="11.28515625" style="29" customWidth="1"/>
    <col min="755" max="755" width="20.85546875" style="29" bestFit="1" customWidth="1"/>
    <col min="756" max="756" width="13.28515625" style="29" customWidth="1"/>
    <col min="757" max="757" width="19.7109375" style="29" customWidth="1"/>
    <col min="758" max="758" width="11.5703125" style="29" customWidth="1"/>
    <col min="759" max="759" width="23.28515625" style="29" customWidth="1"/>
    <col min="760" max="760" width="15.5703125" style="29" customWidth="1"/>
    <col min="761" max="1003" width="9.140625" style="29"/>
    <col min="1004" max="1004" width="3.7109375" style="29" customWidth="1"/>
    <col min="1005" max="1005" width="12.85546875" style="29" customWidth="1"/>
    <col min="1006" max="1006" width="37.5703125" style="29" bestFit="1" customWidth="1"/>
    <col min="1007" max="1007" width="13.85546875" style="29" customWidth="1"/>
    <col min="1008" max="1008" width="13" style="29" customWidth="1"/>
    <col min="1009" max="1009" width="13.42578125" style="29" customWidth="1"/>
    <col min="1010" max="1010" width="11.28515625" style="29" customWidth="1"/>
    <col min="1011" max="1011" width="20.85546875" style="29" bestFit="1" customWidth="1"/>
    <col min="1012" max="1012" width="13.28515625" style="29" customWidth="1"/>
    <col min="1013" max="1013" width="19.7109375" style="29" customWidth="1"/>
    <col min="1014" max="1014" width="11.5703125" style="29" customWidth="1"/>
    <col min="1015" max="1015" width="23.28515625" style="29" customWidth="1"/>
    <col min="1016" max="1016" width="15.5703125" style="29" customWidth="1"/>
    <col min="1017" max="1259" width="9.140625" style="29"/>
    <col min="1260" max="1260" width="3.7109375" style="29" customWidth="1"/>
    <col min="1261" max="1261" width="12.85546875" style="29" customWidth="1"/>
    <col min="1262" max="1262" width="37.5703125" style="29" bestFit="1" customWidth="1"/>
    <col min="1263" max="1263" width="13.85546875" style="29" customWidth="1"/>
    <col min="1264" max="1264" width="13" style="29" customWidth="1"/>
    <col min="1265" max="1265" width="13.42578125" style="29" customWidth="1"/>
    <col min="1266" max="1266" width="11.28515625" style="29" customWidth="1"/>
    <col min="1267" max="1267" width="20.85546875" style="29" bestFit="1" customWidth="1"/>
    <col min="1268" max="1268" width="13.28515625" style="29" customWidth="1"/>
    <col min="1269" max="1269" width="19.7109375" style="29" customWidth="1"/>
    <col min="1270" max="1270" width="11.5703125" style="29" customWidth="1"/>
    <col min="1271" max="1271" width="23.28515625" style="29" customWidth="1"/>
    <col min="1272" max="1272" width="15.5703125" style="29" customWidth="1"/>
    <col min="1273" max="1515" width="9.140625" style="29"/>
    <col min="1516" max="1516" width="3.7109375" style="29" customWidth="1"/>
    <col min="1517" max="1517" width="12.85546875" style="29" customWidth="1"/>
    <col min="1518" max="1518" width="37.5703125" style="29" bestFit="1" customWidth="1"/>
    <col min="1519" max="1519" width="13.85546875" style="29" customWidth="1"/>
    <col min="1520" max="1520" width="13" style="29" customWidth="1"/>
    <col min="1521" max="1521" width="13.42578125" style="29" customWidth="1"/>
    <col min="1522" max="1522" width="11.28515625" style="29" customWidth="1"/>
    <col min="1523" max="1523" width="20.85546875" style="29" bestFit="1" customWidth="1"/>
    <col min="1524" max="1524" width="13.28515625" style="29" customWidth="1"/>
    <col min="1525" max="1525" width="19.7109375" style="29" customWidth="1"/>
    <col min="1526" max="1526" width="11.5703125" style="29" customWidth="1"/>
    <col min="1527" max="1527" width="23.28515625" style="29" customWidth="1"/>
    <col min="1528" max="1528" width="15.5703125" style="29" customWidth="1"/>
    <col min="1529" max="1771" width="9.140625" style="29"/>
    <col min="1772" max="1772" width="3.7109375" style="29" customWidth="1"/>
    <col min="1773" max="1773" width="12.85546875" style="29" customWidth="1"/>
    <col min="1774" max="1774" width="37.5703125" style="29" bestFit="1" customWidth="1"/>
    <col min="1775" max="1775" width="13.85546875" style="29" customWidth="1"/>
    <col min="1776" max="1776" width="13" style="29" customWidth="1"/>
    <col min="1777" max="1777" width="13.42578125" style="29" customWidth="1"/>
    <col min="1778" max="1778" width="11.28515625" style="29" customWidth="1"/>
    <col min="1779" max="1779" width="20.85546875" style="29" bestFit="1" customWidth="1"/>
    <col min="1780" max="1780" width="13.28515625" style="29" customWidth="1"/>
    <col min="1781" max="1781" width="19.7109375" style="29" customWidth="1"/>
    <col min="1782" max="1782" width="11.5703125" style="29" customWidth="1"/>
    <col min="1783" max="1783" width="23.28515625" style="29" customWidth="1"/>
    <col min="1784" max="1784" width="15.5703125" style="29" customWidth="1"/>
    <col min="1785" max="2027" width="9.140625" style="29"/>
    <col min="2028" max="2028" width="3.7109375" style="29" customWidth="1"/>
    <col min="2029" max="2029" width="12.85546875" style="29" customWidth="1"/>
    <col min="2030" max="2030" width="37.5703125" style="29" bestFit="1" customWidth="1"/>
    <col min="2031" max="2031" width="13.85546875" style="29" customWidth="1"/>
    <col min="2032" max="2032" width="13" style="29" customWidth="1"/>
    <col min="2033" max="2033" width="13.42578125" style="29" customWidth="1"/>
    <col min="2034" max="2034" width="11.28515625" style="29" customWidth="1"/>
    <col min="2035" max="2035" width="20.85546875" style="29" bestFit="1" customWidth="1"/>
    <col min="2036" max="2036" width="13.28515625" style="29" customWidth="1"/>
    <col min="2037" max="2037" width="19.7109375" style="29" customWidth="1"/>
    <col min="2038" max="2038" width="11.5703125" style="29" customWidth="1"/>
    <col min="2039" max="2039" width="23.28515625" style="29" customWidth="1"/>
    <col min="2040" max="2040" width="15.5703125" style="29" customWidth="1"/>
    <col min="2041" max="2283" width="9.140625" style="29"/>
    <col min="2284" max="2284" width="3.7109375" style="29" customWidth="1"/>
    <col min="2285" max="2285" width="12.85546875" style="29" customWidth="1"/>
    <col min="2286" max="2286" width="37.5703125" style="29" bestFit="1" customWidth="1"/>
    <col min="2287" max="2287" width="13.85546875" style="29" customWidth="1"/>
    <col min="2288" max="2288" width="13" style="29" customWidth="1"/>
    <col min="2289" max="2289" width="13.42578125" style="29" customWidth="1"/>
    <col min="2290" max="2290" width="11.28515625" style="29" customWidth="1"/>
    <col min="2291" max="2291" width="20.85546875" style="29" bestFit="1" customWidth="1"/>
    <col min="2292" max="2292" width="13.28515625" style="29" customWidth="1"/>
    <col min="2293" max="2293" width="19.7109375" style="29" customWidth="1"/>
    <col min="2294" max="2294" width="11.5703125" style="29" customWidth="1"/>
    <col min="2295" max="2295" width="23.28515625" style="29" customWidth="1"/>
    <col min="2296" max="2296" width="15.5703125" style="29" customWidth="1"/>
    <col min="2297" max="2539" width="9.140625" style="29"/>
    <col min="2540" max="2540" width="3.7109375" style="29" customWidth="1"/>
    <col min="2541" max="2541" width="12.85546875" style="29" customWidth="1"/>
    <col min="2542" max="2542" width="37.5703125" style="29" bestFit="1" customWidth="1"/>
    <col min="2543" max="2543" width="13.85546875" style="29" customWidth="1"/>
    <col min="2544" max="2544" width="13" style="29" customWidth="1"/>
    <col min="2545" max="2545" width="13.42578125" style="29" customWidth="1"/>
    <col min="2546" max="2546" width="11.28515625" style="29" customWidth="1"/>
    <col min="2547" max="2547" width="20.85546875" style="29" bestFit="1" customWidth="1"/>
    <col min="2548" max="2548" width="13.28515625" style="29" customWidth="1"/>
    <col min="2549" max="2549" width="19.7109375" style="29" customWidth="1"/>
    <col min="2550" max="2550" width="11.5703125" style="29" customWidth="1"/>
    <col min="2551" max="2551" width="23.28515625" style="29" customWidth="1"/>
    <col min="2552" max="2552" width="15.5703125" style="29" customWidth="1"/>
    <col min="2553" max="2795" width="9.140625" style="29"/>
    <col min="2796" max="2796" width="3.7109375" style="29" customWidth="1"/>
    <col min="2797" max="2797" width="12.85546875" style="29" customWidth="1"/>
    <col min="2798" max="2798" width="37.5703125" style="29" bestFit="1" customWidth="1"/>
    <col min="2799" max="2799" width="13.85546875" style="29" customWidth="1"/>
    <col min="2800" max="2800" width="13" style="29" customWidth="1"/>
    <col min="2801" max="2801" width="13.42578125" style="29" customWidth="1"/>
    <col min="2802" max="2802" width="11.28515625" style="29" customWidth="1"/>
    <col min="2803" max="2803" width="20.85546875" style="29" bestFit="1" customWidth="1"/>
    <col min="2804" max="2804" width="13.28515625" style="29" customWidth="1"/>
    <col min="2805" max="2805" width="19.7109375" style="29" customWidth="1"/>
    <col min="2806" max="2806" width="11.5703125" style="29" customWidth="1"/>
    <col min="2807" max="2807" width="23.28515625" style="29" customWidth="1"/>
    <col min="2808" max="2808" width="15.5703125" style="29" customWidth="1"/>
    <col min="2809" max="3051" width="9.140625" style="29"/>
    <col min="3052" max="3052" width="3.7109375" style="29" customWidth="1"/>
    <col min="3053" max="3053" width="12.85546875" style="29" customWidth="1"/>
    <col min="3054" max="3054" width="37.5703125" style="29" bestFit="1" customWidth="1"/>
    <col min="3055" max="3055" width="13.85546875" style="29" customWidth="1"/>
    <col min="3056" max="3056" width="13" style="29" customWidth="1"/>
    <col min="3057" max="3057" width="13.42578125" style="29" customWidth="1"/>
    <col min="3058" max="3058" width="11.28515625" style="29" customWidth="1"/>
    <col min="3059" max="3059" width="20.85546875" style="29" bestFit="1" customWidth="1"/>
    <col min="3060" max="3060" width="13.28515625" style="29" customWidth="1"/>
    <col min="3061" max="3061" width="19.7109375" style="29" customWidth="1"/>
    <col min="3062" max="3062" width="11.5703125" style="29" customWidth="1"/>
    <col min="3063" max="3063" width="23.28515625" style="29" customWidth="1"/>
    <col min="3064" max="3064" width="15.5703125" style="29" customWidth="1"/>
    <col min="3065" max="3307" width="9.140625" style="29"/>
    <col min="3308" max="3308" width="3.7109375" style="29" customWidth="1"/>
    <col min="3309" max="3309" width="12.85546875" style="29" customWidth="1"/>
    <col min="3310" max="3310" width="37.5703125" style="29" bestFit="1" customWidth="1"/>
    <col min="3311" max="3311" width="13.85546875" style="29" customWidth="1"/>
    <col min="3312" max="3312" width="13" style="29" customWidth="1"/>
    <col min="3313" max="3313" width="13.42578125" style="29" customWidth="1"/>
    <col min="3314" max="3314" width="11.28515625" style="29" customWidth="1"/>
    <col min="3315" max="3315" width="20.85546875" style="29" bestFit="1" customWidth="1"/>
    <col min="3316" max="3316" width="13.28515625" style="29" customWidth="1"/>
    <col min="3317" max="3317" width="19.7109375" style="29" customWidth="1"/>
    <col min="3318" max="3318" width="11.5703125" style="29" customWidth="1"/>
    <col min="3319" max="3319" width="23.28515625" style="29" customWidth="1"/>
    <col min="3320" max="3320" width="15.5703125" style="29" customWidth="1"/>
    <col min="3321" max="3563" width="9.140625" style="29"/>
    <col min="3564" max="3564" width="3.7109375" style="29" customWidth="1"/>
    <col min="3565" max="3565" width="12.85546875" style="29" customWidth="1"/>
    <col min="3566" max="3566" width="37.5703125" style="29" bestFit="1" customWidth="1"/>
    <col min="3567" max="3567" width="13.85546875" style="29" customWidth="1"/>
    <col min="3568" max="3568" width="13" style="29" customWidth="1"/>
    <col min="3569" max="3569" width="13.42578125" style="29" customWidth="1"/>
    <col min="3570" max="3570" width="11.28515625" style="29" customWidth="1"/>
    <col min="3571" max="3571" width="20.85546875" style="29" bestFit="1" customWidth="1"/>
    <col min="3572" max="3572" width="13.28515625" style="29" customWidth="1"/>
    <col min="3573" max="3573" width="19.7109375" style="29" customWidth="1"/>
    <col min="3574" max="3574" width="11.5703125" style="29" customWidth="1"/>
    <col min="3575" max="3575" width="23.28515625" style="29" customWidth="1"/>
    <col min="3576" max="3576" width="15.5703125" style="29" customWidth="1"/>
    <col min="3577" max="3819" width="9.140625" style="29"/>
    <col min="3820" max="3820" width="3.7109375" style="29" customWidth="1"/>
    <col min="3821" max="3821" width="12.85546875" style="29" customWidth="1"/>
    <col min="3822" max="3822" width="37.5703125" style="29" bestFit="1" customWidth="1"/>
    <col min="3823" max="3823" width="13.85546875" style="29" customWidth="1"/>
    <col min="3824" max="3824" width="13" style="29" customWidth="1"/>
    <col min="3825" max="3825" width="13.42578125" style="29" customWidth="1"/>
    <col min="3826" max="3826" width="11.28515625" style="29" customWidth="1"/>
    <col min="3827" max="3827" width="20.85546875" style="29" bestFit="1" customWidth="1"/>
    <col min="3828" max="3828" width="13.28515625" style="29" customWidth="1"/>
    <col min="3829" max="3829" width="19.7109375" style="29" customWidth="1"/>
    <col min="3830" max="3830" width="11.5703125" style="29" customWidth="1"/>
    <col min="3831" max="3831" width="23.28515625" style="29" customWidth="1"/>
    <col min="3832" max="3832" width="15.5703125" style="29" customWidth="1"/>
    <col min="3833" max="4075" width="9.140625" style="29"/>
    <col min="4076" max="4076" width="3.7109375" style="29" customWidth="1"/>
    <col min="4077" max="4077" width="12.85546875" style="29" customWidth="1"/>
    <col min="4078" max="4078" width="37.5703125" style="29" bestFit="1" customWidth="1"/>
    <col min="4079" max="4079" width="13.85546875" style="29" customWidth="1"/>
    <col min="4080" max="4080" width="13" style="29" customWidth="1"/>
    <col min="4081" max="4081" width="13.42578125" style="29" customWidth="1"/>
    <col min="4082" max="4082" width="11.28515625" style="29" customWidth="1"/>
    <col min="4083" max="4083" width="20.85546875" style="29" bestFit="1" customWidth="1"/>
    <col min="4084" max="4084" width="13.28515625" style="29" customWidth="1"/>
    <col min="4085" max="4085" width="19.7109375" style="29" customWidth="1"/>
    <col min="4086" max="4086" width="11.5703125" style="29" customWidth="1"/>
    <col min="4087" max="4087" width="23.28515625" style="29" customWidth="1"/>
    <col min="4088" max="4088" width="15.5703125" style="29" customWidth="1"/>
    <col min="4089" max="4331" width="9.140625" style="29"/>
    <col min="4332" max="4332" width="3.7109375" style="29" customWidth="1"/>
    <col min="4333" max="4333" width="12.85546875" style="29" customWidth="1"/>
    <col min="4334" max="4334" width="37.5703125" style="29" bestFit="1" customWidth="1"/>
    <col min="4335" max="4335" width="13.85546875" style="29" customWidth="1"/>
    <col min="4336" max="4336" width="13" style="29" customWidth="1"/>
    <col min="4337" max="4337" width="13.42578125" style="29" customWidth="1"/>
    <col min="4338" max="4338" width="11.28515625" style="29" customWidth="1"/>
    <col min="4339" max="4339" width="20.85546875" style="29" bestFit="1" customWidth="1"/>
    <col min="4340" max="4340" width="13.28515625" style="29" customWidth="1"/>
    <col min="4341" max="4341" width="19.7109375" style="29" customWidth="1"/>
    <col min="4342" max="4342" width="11.5703125" style="29" customWidth="1"/>
    <col min="4343" max="4343" width="23.28515625" style="29" customWidth="1"/>
    <col min="4344" max="4344" width="15.5703125" style="29" customWidth="1"/>
    <col min="4345" max="4587" width="9.140625" style="29"/>
    <col min="4588" max="4588" width="3.7109375" style="29" customWidth="1"/>
    <col min="4589" max="4589" width="12.85546875" style="29" customWidth="1"/>
    <col min="4590" max="4590" width="37.5703125" style="29" bestFit="1" customWidth="1"/>
    <col min="4591" max="4591" width="13.85546875" style="29" customWidth="1"/>
    <col min="4592" max="4592" width="13" style="29" customWidth="1"/>
    <col min="4593" max="4593" width="13.42578125" style="29" customWidth="1"/>
    <col min="4594" max="4594" width="11.28515625" style="29" customWidth="1"/>
    <col min="4595" max="4595" width="20.85546875" style="29" bestFit="1" customWidth="1"/>
    <col min="4596" max="4596" width="13.28515625" style="29" customWidth="1"/>
    <col min="4597" max="4597" width="19.7109375" style="29" customWidth="1"/>
    <col min="4598" max="4598" width="11.5703125" style="29" customWidth="1"/>
    <col min="4599" max="4599" width="23.28515625" style="29" customWidth="1"/>
    <col min="4600" max="4600" width="15.5703125" style="29" customWidth="1"/>
    <col min="4601" max="4843" width="9.140625" style="29"/>
    <col min="4844" max="4844" width="3.7109375" style="29" customWidth="1"/>
    <col min="4845" max="4845" width="12.85546875" style="29" customWidth="1"/>
    <col min="4846" max="4846" width="37.5703125" style="29" bestFit="1" customWidth="1"/>
    <col min="4847" max="4847" width="13.85546875" style="29" customWidth="1"/>
    <col min="4848" max="4848" width="13" style="29" customWidth="1"/>
    <col min="4849" max="4849" width="13.42578125" style="29" customWidth="1"/>
    <col min="4850" max="4850" width="11.28515625" style="29" customWidth="1"/>
    <col min="4851" max="4851" width="20.85546875" style="29" bestFit="1" customWidth="1"/>
    <col min="4852" max="4852" width="13.28515625" style="29" customWidth="1"/>
    <col min="4853" max="4853" width="19.7109375" style="29" customWidth="1"/>
    <col min="4854" max="4854" width="11.5703125" style="29" customWidth="1"/>
    <col min="4855" max="4855" width="23.28515625" style="29" customWidth="1"/>
    <col min="4856" max="4856" width="15.5703125" style="29" customWidth="1"/>
    <col min="4857" max="5099" width="9.140625" style="29"/>
    <col min="5100" max="5100" width="3.7109375" style="29" customWidth="1"/>
    <col min="5101" max="5101" width="12.85546875" style="29" customWidth="1"/>
    <col min="5102" max="5102" width="37.5703125" style="29" bestFit="1" customWidth="1"/>
    <col min="5103" max="5103" width="13.85546875" style="29" customWidth="1"/>
    <col min="5104" max="5104" width="13" style="29" customWidth="1"/>
    <col min="5105" max="5105" width="13.42578125" style="29" customWidth="1"/>
    <col min="5106" max="5106" width="11.28515625" style="29" customWidth="1"/>
    <col min="5107" max="5107" width="20.85546875" style="29" bestFit="1" customWidth="1"/>
    <col min="5108" max="5108" width="13.28515625" style="29" customWidth="1"/>
    <col min="5109" max="5109" width="19.7109375" style="29" customWidth="1"/>
    <col min="5110" max="5110" width="11.5703125" style="29" customWidth="1"/>
    <col min="5111" max="5111" width="23.28515625" style="29" customWidth="1"/>
    <col min="5112" max="5112" width="15.5703125" style="29" customWidth="1"/>
    <col min="5113" max="5355" width="9.140625" style="29"/>
    <col min="5356" max="5356" width="3.7109375" style="29" customWidth="1"/>
    <col min="5357" max="5357" width="12.85546875" style="29" customWidth="1"/>
    <col min="5358" max="5358" width="37.5703125" style="29" bestFit="1" customWidth="1"/>
    <col min="5359" max="5359" width="13.85546875" style="29" customWidth="1"/>
    <col min="5360" max="5360" width="13" style="29" customWidth="1"/>
    <col min="5361" max="5361" width="13.42578125" style="29" customWidth="1"/>
    <col min="5362" max="5362" width="11.28515625" style="29" customWidth="1"/>
    <col min="5363" max="5363" width="20.85546875" style="29" bestFit="1" customWidth="1"/>
    <col min="5364" max="5364" width="13.28515625" style="29" customWidth="1"/>
    <col min="5365" max="5365" width="19.7109375" style="29" customWidth="1"/>
    <col min="5366" max="5366" width="11.5703125" style="29" customWidth="1"/>
    <col min="5367" max="5367" width="23.28515625" style="29" customWidth="1"/>
    <col min="5368" max="5368" width="15.5703125" style="29" customWidth="1"/>
    <col min="5369" max="5611" width="9.140625" style="29"/>
    <col min="5612" max="5612" width="3.7109375" style="29" customWidth="1"/>
    <col min="5613" max="5613" width="12.85546875" style="29" customWidth="1"/>
    <col min="5614" max="5614" width="37.5703125" style="29" bestFit="1" customWidth="1"/>
    <col min="5615" max="5615" width="13.85546875" style="29" customWidth="1"/>
    <col min="5616" max="5616" width="13" style="29" customWidth="1"/>
    <col min="5617" max="5617" width="13.42578125" style="29" customWidth="1"/>
    <col min="5618" max="5618" width="11.28515625" style="29" customWidth="1"/>
    <col min="5619" max="5619" width="20.85546875" style="29" bestFit="1" customWidth="1"/>
    <col min="5620" max="5620" width="13.28515625" style="29" customWidth="1"/>
    <col min="5621" max="5621" width="19.7109375" style="29" customWidth="1"/>
    <col min="5622" max="5622" width="11.5703125" style="29" customWidth="1"/>
    <col min="5623" max="5623" width="23.28515625" style="29" customWidth="1"/>
    <col min="5624" max="5624" width="15.5703125" style="29" customWidth="1"/>
    <col min="5625" max="5867" width="9.140625" style="29"/>
    <col min="5868" max="5868" width="3.7109375" style="29" customWidth="1"/>
    <col min="5869" max="5869" width="12.85546875" style="29" customWidth="1"/>
    <col min="5870" max="5870" width="37.5703125" style="29" bestFit="1" customWidth="1"/>
    <col min="5871" max="5871" width="13.85546875" style="29" customWidth="1"/>
    <col min="5872" max="5872" width="13" style="29" customWidth="1"/>
    <col min="5873" max="5873" width="13.42578125" style="29" customWidth="1"/>
    <col min="5874" max="5874" width="11.28515625" style="29" customWidth="1"/>
    <col min="5875" max="5875" width="20.85546875" style="29" bestFit="1" customWidth="1"/>
    <col min="5876" max="5876" width="13.28515625" style="29" customWidth="1"/>
    <col min="5877" max="5877" width="19.7109375" style="29" customWidth="1"/>
    <col min="5878" max="5878" width="11.5703125" style="29" customWidth="1"/>
    <col min="5879" max="5879" width="23.28515625" style="29" customWidth="1"/>
    <col min="5880" max="5880" width="15.5703125" style="29" customWidth="1"/>
    <col min="5881" max="6123" width="9.140625" style="29"/>
    <col min="6124" max="6124" width="3.7109375" style="29" customWidth="1"/>
    <col min="6125" max="6125" width="12.85546875" style="29" customWidth="1"/>
    <col min="6126" max="6126" width="37.5703125" style="29" bestFit="1" customWidth="1"/>
    <col min="6127" max="6127" width="13.85546875" style="29" customWidth="1"/>
    <col min="6128" max="6128" width="13" style="29" customWidth="1"/>
    <col min="6129" max="6129" width="13.42578125" style="29" customWidth="1"/>
    <col min="6130" max="6130" width="11.28515625" style="29" customWidth="1"/>
    <col min="6131" max="6131" width="20.85546875" style="29" bestFit="1" customWidth="1"/>
    <col min="6132" max="6132" width="13.28515625" style="29" customWidth="1"/>
    <col min="6133" max="6133" width="19.7109375" style="29" customWidth="1"/>
    <col min="6134" max="6134" width="11.5703125" style="29" customWidth="1"/>
    <col min="6135" max="6135" width="23.28515625" style="29" customWidth="1"/>
    <col min="6136" max="6136" width="15.5703125" style="29" customWidth="1"/>
    <col min="6137" max="6379" width="9.140625" style="29"/>
    <col min="6380" max="6380" width="3.7109375" style="29" customWidth="1"/>
    <col min="6381" max="6381" width="12.85546875" style="29" customWidth="1"/>
    <col min="6382" max="6382" width="37.5703125" style="29" bestFit="1" customWidth="1"/>
    <col min="6383" max="6383" width="13.85546875" style="29" customWidth="1"/>
    <col min="6384" max="6384" width="13" style="29" customWidth="1"/>
    <col min="6385" max="6385" width="13.42578125" style="29" customWidth="1"/>
    <col min="6386" max="6386" width="11.28515625" style="29" customWidth="1"/>
    <col min="6387" max="6387" width="20.85546875" style="29" bestFit="1" customWidth="1"/>
    <col min="6388" max="6388" width="13.28515625" style="29" customWidth="1"/>
    <col min="6389" max="6389" width="19.7109375" style="29" customWidth="1"/>
    <col min="6390" max="6390" width="11.5703125" style="29" customWidth="1"/>
    <col min="6391" max="6391" width="23.28515625" style="29" customWidth="1"/>
    <col min="6392" max="6392" width="15.5703125" style="29" customWidth="1"/>
    <col min="6393" max="6635" width="9.140625" style="29"/>
    <col min="6636" max="6636" width="3.7109375" style="29" customWidth="1"/>
    <col min="6637" max="6637" width="12.85546875" style="29" customWidth="1"/>
    <col min="6638" max="6638" width="37.5703125" style="29" bestFit="1" customWidth="1"/>
    <col min="6639" max="6639" width="13.85546875" style="29" customWidth="1"/>
    <col min="6640" max="6640" width="13" style="29" customWidth="1"/>
    <col min="6641" max="6641" width="13.42578125" style="29" customWidth="1"/>
    <col min="6642" max="6642" width="11.28515625" style="29" customWidth="1"/>
    <col min="6643" max="6643" width="20.85546875" style="29" bestFit="1" customWidth="1"/>
    <col min="6644" max="6644" width="13.28515625" style="29" customWidth="1"/>
    <col min="6645" max="6645" width="19.7109375" style="29" customWidth="1"/>
    <col min="6646" max="6646" width="11.5703125" style="29" customWidth="1"/>
    <col min="6647" max="6647" width="23.28515625" style="29" customWidth="1"/>
    <col min="6648" max="6648" width="15.5703125" style="29" customWidth="1"/>
    <col min="6649" max="6891" width="9.140625" style="29"/>
    <col min="6892" max="6892" width="3.7109375" style="29" customWidth="1"/>
    <col min="6893" max="6893" width="12.85546875" style="29" customWidth="1"/>
    <col min="6894" max="6894" width="37.5703125" style="29" bestFit="1" customWidth="1"/>
    <col min="6895" max="6895" width="13.85546875" style="29" customWidth="1"/>
    <col min="6896" max="6896" width="13" style="29" customWidth="1"/>
    <col min="6897" max="6897" width="13.42578125" style="29" customWidth="1"/>
    <col min="6898" max="6898" width="11.28515625" style="29" customWidth="1"/>
    <col min="6899" max="6899" width="20.85546875" style="29" bestFit="1" customWidth="1"/>
    <col min="6900" max="6900" width="13.28515625" style="29" customWidth="1"/>
    <col min="6901" max="6901" width="19.7109375" style="29" customWidth="1"/>
    <col min="6902" max="6902" width="11.5703125" style="29" customWidth="1"/>
    <col min="6903" max="6903" width="23.28515625" style="29" customWidth="1"/>
    <col min="6904" max="6904" width="15.5703125" style="29" customWidth="1"/>
    <col min="6905" max="7147" width="9.140625" style="29"/>
    <col min="7148" max="7148" width="3.7109375" style="29" customWidth="1"/>
    <col min="7149" max="7149" width="12.85546875" style="29" customWidth="1"/>
    <col min="7150" max="7150" width="37.5703125" style="29" bestFit="1" customWidth="1"/>
    <col min="7151" max="7151" width="13.85546875" style="29" customWidth="1"/>
    <col min="7152" max="7152" width="13" style="29" customWidth="1"/>
    <col min="7153" max="7153" width="13.42578125" style="29" customWidth="1"/>
    <col min="7154" max="7154" width="11.28515625" style="29" customWidth="1"/>
    <col min="7155" max="7155" width="20.85546875" style="29" bestFit="1" customWidth="1"/>
    <col min="7156" max="7156" width="13.28515625" style="29" customWidth="1"/>
    <col min="7157" max="7157" width="19.7109375" style="29" customWidth="1"/>
    <col min="7158" max="7158" width="11.5703125" style="29" customWidth="1"/>
    <col min="7159" max="7159" width="23.28515625" style="29" customWidth="1"/>
    <col min="7160" max="7160" width="15.5703125" style="29" customWidth="1"/>
    <col min="7161" max="7403" width="9.140625" style="29"/>
    <col min="7404" max="7404" width="3.7109375" style="29" customWidth="1"/>
    <col min="7405" max="7405" width="12.85546875" style="29" customWidth="1"/>
    <col min="7406" max="7406" width="37.5703125" style="29" bestFit="1" customWidth="1"/>
    <col min="7407" max="7407" width="13.85546875" style="29" customWidth="1"/>
    <col min="7408" max="7408" width="13" style="29" customWidth="1"/>
    <col min="7409" max="7409" width="13.42578125" style="29" customWidth="1"/>
    <col min="7410" max="7410" width="11.28515625" style="29" customWidth="1"/>
    <col min="7411" max="7411" width="20.85546875" style="29" bestFit="1" customWidth="1"/>
    <col min="7412" max="7412" width="13.28515625" style="29" customWidth="1"/>
    <col min="7413" max="7413" width="19.7109375" style="29" customWidth="1"/>
    <col min="7414" max="7414" width="11.5703125" style="29" customWidth="1"/>
    <col min="7415" max="7415" width="23.28515625" style="29" customWidth="1"/>
    <col min="7416" max="7416" width="15.5703125" style="29" customWidth="1"/>
    <col min="7417" max="7659" width="9.140625" style="29"/>
    <col min="7660" max="7660" width="3.7109375" style="29" customWidth="1"/>
    <col min="7661" max="7661" width="12.85546875" style="29" customWidth="1"/>
    <col min="7662" max="7662" width="37.5703125" style="29" bestFit="1" customWidth="1"/>
    <col min="7663" max="7663" width="13.85546875" style="29" customWidth="1"/>
    <col min="7664" max="7664" width="13" style="29" customWidth="1"/>
    <col min="7665" max="7665" width="13.42578125" style="29" customWidth="1"/>
    <col min="7666" max="7666" width="11.28515625" style="29" customWidth="1"/>
    <col min="7667" max="7667" width="20.85546875" style="29" bestFit="1" customWidth="1"/>
    <col min="7668" max="7668" width="13.28515625" style="29" customWidth="1"/>
    <col min="7669" max="7669" width="19.7109375" style="29" customWidth="1"/>
    <col min="7670" max="7670" width="11.5703125" style="29" customWidth="1"/>
    <col min="7671" max="7671" width="23.28515625" style="29" customWidth="1"/>
    <col min="7672" max="7672" width="15.5703125" style="29" customWidth="1"/>
    <col min="7673" max="7915" width="9.140625" style="29"/>
    <col min="7916" max="7916" width="3.7109375" style="29" customWidth="1"/>
    <col min="7917" max="7917" width="12.85546875" style="29" customWidth="1"/>
    <col min="7918" max="7918" width="37.5703125" style="29" bestFit="1" customWidth="1"/>
    <col min="7919" max="7919" width="13.85546875" style="29" customWidth="1"/>
    <col min="7920" max="7920" width="13" style="29" customWidth="1"/>
    <col min="7921" max="7921" width="13.42578125" style="29" customWidth="1"/>
    <col min="7922" max="7922" width="11.28515625" style="29" customWidth="1"/>
    <col min="7923" max="7923" width="20.85546875" style="29" bestFit="1" customWidth="1"/>
    <col min="7924" max="7924" width="13.28515625" style="29" customWidth="1"/>
    <col min="7925" max="7925" width="19.7109375" style="29" customWidth="1"/>
    <col min="7926" max="7926" width="11.5703125" style="29" customWidth="1"/>
    <col min="7927" max="7927" width="23.28515625" style="29" customWidth="1"/>
    <col min="7928" max="7928" width="15.5703125" style="29" customWidth="1"/>
    <col min="7929" max="8171" width="9.140625" style="29"/>
    <col min="8172" max="8172" width="3.7109375" style="29" customWidth="1"/>
    <col min="8173" max="8173" width="12.85546875" style="29" customWidth="1"/>
    <col min="8174" max="8174" width="37.5703125" style="29" bestFit="1" customWidth="1"/>
    <col min="8175" max="8175" width="13.85546875" style="29" customWidth="1"/>
    <col min="8176" max="8176" width="13" style="29" customWidth="1"/>
    <col min="8177" max="8177" width="13.42578125" style="29" customWidth="1"/>
    <col min="8178" max="8178" width="11.28515625" style="29" customWidth="1"/>
    <col min="8179" max="8179" width="20.85546875" style="29" bestFit="1" customWidth="1"/>
    <col min="8180" max="8180" width="13.28515625" style="29" customWidth="1"/>
    <col min="8181" max="8181" width="19.7109375" style="29" customWidth="1"/>
    <col min="8182" max="8182" width="11.5703125" style="29" customWidth="1"/>
    <col min="8183" max="8183" width="23.28515625" style="29" customWidth="1"/>
    <col min="8184" max="8184" width="15.5703125" style="29" customWidth="1"/>
    <col min="8185" max="8427" width="9.140625" style="29"/>
    <col min="8428" max="8428" width="3.7109375" style="29" customWidth="1"/>
    <col min="8429" max="8429" width="12.85546875" style="29" customWidth="1"/>
    <col min="8430" max="8430" width="37.5703125" style="29" bestFit="1" customWidth="1"/>
    <col min="8431" max="8431" width="13.85546875" style="29" customWidth="1"/>
    <col min="8432" max="8432" width="13" style="29" customWidth="1"/>
    <col min="8433" max="8433" width="13.42578125" style="29" customWidth="1"/>
    <col min="8434" max="8434" width="11.28515625" style="29" customWidth="1"/>
    <col min="8435" max="8435" width="20.85546875" style="29" bestFit="1" customWidth="1"/>
    <col min="8436" max="8436" width="13.28515625" style="29" customWidth="1"/>
    <col min="8437" max="8437" width="19.7109375" style="29" customWidth="1"/>
    <col min="8438" max="8438" width="11.5703125" style="29" customWidth="1"/>
    <col min="8439" max="8439" width="23.28515625" style="29" customWidth="1"/>
    <col min="8440" max="8440" width="15.5703125" style="29" customWidth="1"/>
    <col min="8441" max="8683" width="9.140625" style="29"/>
    <col min="8684" max="8684" width="3.7109375" style="29" customWidth="1"/>
    <col min="8685" max="8685" width="12.85546875" style="29" customWidth="1"/>
    <col min="8686" max="8686" width="37.5703125" style="29" bestFit="1" customWidth="1"/>
    <col min="8687" max="8687" width="13.85546875" style="29" customWidth="1"/>
    <col min="8688" max="8688" width="13" style="29" customWidth="1"/>
    <col min="8689" max="8689" width="13.42578125" style="29" customWidth="1"/>
    <col min="8690" max="8690" width="11.28515625" style="29" customWidth="1"/>
    <col min="8691" max="8691" width="20.85546875" style="29" bestFit="1" customWidth="1"/>
    <col min="8692" max="8692" width="13.28515625" style="29" customWidth="1"/>
    <col min="8693" max="8693" width="19.7109375" style="29" customWidth="1"/>
    <col min="8694" max="8694" width="11.5703125" style="29" customWidth="1"/>
    <col min="8695" max="8695" width="23.28515625" style="29" customWidth="1"/>
    <col min="8696" max="8696" width="15.5703125" style="29" customWidth="1"/>
    <col min="8697" max="8939" width="9.140625" style="29"/>
    <col min="8940" max="8940" width="3.7109375" style="29" customWidth="1"/>
    <col min="8941" max="8941" width="12.85546875" style="29" customWidth="1"/>
    <col min="8942" max="8942" width="37.5703125" style="29" bestFit="1" customWidth="1"/>
    <col min="8943" max="8943" width="13.85546875" style="29" customWidth="1"/>
    <col min="8944" max="8944" width="13" style="29" customWidth="1"/>
    <col min="8945" max="8945" width="13.42578125" style="29" customWidth="1"/>
    <col min="8946" max="8946" width="11.28515625" style="29" customWidth="1"/>
    <col min="8947" max="8947" width="20.85546875" style="29" bestFit="1" customWidth="1"/>
    <col min="8948" max="8948" width="13.28515625" style="29" customWidth="1"/>
    <col min="8949" max="8949" width="19.7109375" style="29" customWidth="1"/>
    <col min="8950" max="8950" width="11.5703125" style="29" customWidth="1"/>
    <col min="8951" max="8951" width="23.28515625" style="29" customWidth="1"/>
    <col min="8952" max="8952" width="15.5703125" style="29" customWidth="1"/>
    <col min="8953" max="9195" width="9.140625" style="29"/>
    <col min="9196" max="9196" width="3.7109375" style="29" customWidth="1"/>
    <col min="9197" max="9197" width="12.85546875" style="29" customWidth="1"/>
    <col min="9198" max="9198" width="37.5703125" style="29" bestFit="1" customWidth="1"/>
    <col min="9199" max="9199" width="13.85546875" style="29" customWidth="1"/>
    <col min="9200" max="9200" width="13" style="29" customWidth="1"/>
    <col min="9201" max="9201" width="13.42578125" style="29" customWidth="1"/>
    <col min="9202" max="9202" width="11.28515625" style="29" customWidth="1"/>
    <col min="9203" max="9203" width="20.85546875" style="29" bestFit="1" customWidth="1"/>
    <col min="9204" max="9204" width="13.28515625" style="29" customWidth="1"/>
    <col min="9205" max="9205" width="19.7109375" style="29" customWidth="1"/>
    <col min="9206" max="9206" width="11.5703125" style="29" customWidth="1"/>
    <col min="9207" max="9207" width="23.28515625" style="29" customWidth="1"/>
    <col min="9208" max="9208" width="15.5703125" style="29" customWidth="1"/>
    <col min="9209" max="9451" width="9.140625" style="29"/>
    <col min="9452" max="9452" width="3.7109375" style="29" customWidth="1"/>
    <col min="9453" max="9453" width="12.85546875" style="29" customWidth="1"/>
    <col min="9454" max="9454" width="37.5703125" style="29" bestFit="1" customWidth="1"/>
    <col min="9455" max="9455" width="13.85546875" style="29" customWidth="1"/>
    <col min="9456" max="9456" width="13" style="29" customWidth="1"/>
    <col min="9457" max="9457" width="13.42578125" style="29" customWidth="1"/>
    <col min="9458" max="9458" width="11.28515625" style="29" customWidth="1"/>
    <col min="9459" max="9459" width="20.85546875" style="29" bestFit="1" customWidth="1"/>
    <col min="9460" max="9460" width="13.28515625" style="29" customWidth="1"/>
    <col min="9461" max="9461" width="19.7109375" style="29" customWidth="1"/>
    <col min="9462" max="9462" width="11.5703125" style="29" customWidth="1"/>
    <col min="9463" max="9463" width="23.28515625" style="29" customWidth="1"/>
    <col min="9464" max="9464" width="15.5703125" style="29" customWidth="1"/>
    <col min="9465" max="9707" width="9.140625" style="29"/>
    <col min="9708" max="9708" width="3.7109375" style="29" customWidth="1"/>
    <col min="9709" max="9709" width="12.85546875" style="29" customWidth="1"/>
    <col min="9710" max="9710" width="37.5703125" style="29" bestFit="1" customWidth="1"/>
    <col min="9711" max="9711" width="13.85546875" style="29" customWidth="1"/>
    <col min="9712" max="9712" width="13" style="29" customWidth="1"/>
    <col min="9713" max="9713" width="13.42578125" style="29" customWidth="1"/>
    <col min="9714" max="9714" width="11.28515625" style="29" customWidth="1"/>
    <col min="9715" max="9715" width="20.85546875" style="29" bestFit="1" customWidth="1"/>
    <col min="9716" max="9716" width="13.28515625" style="29" customWidth="1"/>
    <col min="9717" max="9717" width="19.7109375" style="29" customWidth="1"/>
    <col min="9718" max="9718" width="11.5703125" style="29" customWidth="1"/>
    <col min="9719" max="9719" width="23.28515625" style="29" customWidth="1"/>
    <col min="9720" max="9720" width="15.5703125" style="29" customWidth="1"/>
    <col min="9721" max="9963" width="9.140625" style="29"/>
    <col min="9964" max="9964" width="3.7109375" style="29" customWidth="1"/>
    <col min="9965" max="9965" width="12.85546875" style="29" customWidth="1"/>
    <col min="9966" max="9966" width="37.5703125" style="29" bestFit="1" customWidth="1"/>
    <col min="9967" max="9967" width="13.85546875" style="29" customWidth="1"/>
    <col min="9968" max="9968" width="13" style="29" customWidth="1"/>
    <col min="9969" max="9969" width="13.42578125" style="29" customWidth="1"/>
    <col min="9970" max="9970" width="11.28515625" style="29" customWidth="1"/>
    <col min="9971" max="9971" width="20.85546875" style="29" bestFit="1" customWidth="1"/>
    <col min="9972" max="9972" width="13.28515625" style="29" customWidth="1"/>
    <col min="9973" max="9973" width="19.7109375" style="29" customWidth="1"/>
    <col min="9974" max="9974" width="11.5703125" style="29" customWidth="1"/>
    <col min="9975" max="9975" width="23.28515625" style="29" customWidth="1"/>
    <col min="9976" max="9976" width="15.5703125" style="29" customWidth="1"/>
    <col min="9977" max="10219" width="9.140625" style="29"/>
    <col min="10220" max="10220" width="3.7109375" style="29" customWidth="1"/>
    <col min="10221" max="10221" width="12.85546875" style="29" customWidth="1"/>
    <col min="10222" max="10222" width="37.5703125" style="29" bestFit="1" customWidth="1"/>
    <col min="10223" max="10223" width="13.85546875" style="29" customWidth="1"/>
    <col min="10224" max="10224" width="13" style="29" customWidth="1"/>
    <col min="10225" max="10225" width="13.42578125" style="29" customWidth="1"/>
    <col min="10226" max="10226" width="11.28515625" style="29" customWidth="1"/>
    <col min="10227" max="10227" width="20.85546875" style="29" bestFit="1" customWidth="1"/>
    <col min="10228" max="10228" width="13.28515625" style="29" customWidth="1"/>
    <col min="10229" max="10229" width="19.7109375" style="29" customWidth="1"/>
    <col min="10230" max="10230" width="11.5703125" style="29" customWidth="1"/>
    <col min="10231" max="10231" width="23.28515625" style="29" customWidth="1"/>
    <col min="10232" max="10232" width="15.5703125" style="29" customWidth="1"/>
    <col min="10233" max="10475" width="9.140625" style="29"/>
    <col min="10476" max="10476" width="3.7109375" style="29" customWidth="1"/>
    <col min="10477" max="10477" width="12.85546875" style="29" customWidth="1"/>
    <col min="10478" max="10478" width="37.5703125" style="29" bestFit="1" customWidth="1"/>
    <col min="10479" max="10479" width="13.85546875" style="29" customWidth="1"/>
    <col min="10480" max="10480" width="13" style="29" customWidth="1"/>
    <col min="10481" max="10481" width="13.42578125" style="29" customWidth="1"/>
    <col min="10482" max="10482" width="11.28515625" style="29" customWidth="1"/>
    <col min="10483" max="10483" width="20.85546875" style="29" bestFit="1" customWidth="1"/>
    <col min="10484" max="10484" width="13.28515625" style="29" customWidth="1"/>
    <col min="10485" max="10485" width="19.7109375" style="29" customWidth="1"/>
    <col min="10486" max="10486" width="11.5703125" style="29" customWidth="1"/>
    <col min="10487" max="10487" width="23.28515625" style="29" customWidth="1"/>
    <col min="10488" max="10488" width="15.5703125" style="29" customWidth="1"/>
    <col min="10489" max="10731" width="9.140625" style="29"/>
    <col min="10732" max="10732" width="3.7109375" style="29" customWidth="1"/>
    <col min="10733" max="10733" width="12.85546875" style="29" customWidth="1"/>
    <col min="10734" max="10734" width="37.5703125" style="29" bestFit="1" customWidth="1"/>
    <col min="10735" max="10735" width="13.85546875" style="29" customWidth="1"/>
    <col min="10736" max="10736" width="13" style="29" customWidth="1"/>
    <col min="10737" max="10737" width="13.42578125" style="29" customWidth="1"/>
    <col min="10738" max="10738" width="11.28515625" style="29" customWidth="1"/>
    <col min="10739" max="10739" width="20.85546875" style="29" bestFit="1" customWidth="1"/>
    <col min="10740" max="10740" width="13.28515625" style="29" customWidth="1"/>
    <col min="10741" max="10741" width="19.7109375" style="29" customWidth="1"/>
    <col min="10742" max="10742" width="11.5703125" style="29" customWidth="1"/>
    <col min="10743" max="10743" width="23.28515625" style="29" customWidth="1"/>
    <col min="10744" max="10744" width="15.5703125" style="29" customWidth="1"/>
    <col min="10745" max="10987" width="9.140625" style="29"/>
    <col min="10988" max="10988" width="3.7109375" style="29" customWidth="1"/>
    <col min="10989" max="10989" width="12.85546875" style="29" customWidth="1"/>
    <col min="10990" max="10990" width="37.5703125" style="29" bestFit="1" customWidth="1"/>
    <col min="10991" max="10991" width="13.85546875" style="29" customWidth="1"/>
    <col min="10992" max="10992" width="13" style="29" customWidth="1"/>
    <col min="10993" max="10993" width="13.42578125" style="29" customWidth="1"/>
    <col min="10994" max="10994" width="11.28515625" style="29" customWidth="1"/>
    <col min="10995" max="10995" width="20.85546875" style="29" bestFit="1" customWidth="1"/>
    <col min="10996" max="10996" width="13.28515625" style="29" customWidth="1"/>
    <col min="10997" max="10997" width="19.7109375" style="29" customWidth="1"/>
    <col min="10998" max="10998" width="11.5703125" style="29" customWidth="1"/>
    <col min="10999" max="10999" width="23.28515625" style="29" customWidth="1"/>
    <col min="11000" max="11000" width="15.5703125" style="29" customWidth="1"/>
    <col min="11001" max="11243" width="9.140625" style="29"/>
    <col min="11244" max="11244" width="3.7109375" style="29" customWidth="1"/>
    <col min="11245" max="11245" width="12.85546875" style="29" customWidth="1"/>
    <col min="11246" max="11246" width="37.5703125" style="29" bestFit="1" customWidth="1"/>
    <col min="11247" max="11247" width="13.85546875" style="29" customWidth="1"/>
    <col min="11248" max="11248" width="13" style="29" customWidth="1"/>
    <col min="11249" max="11249" width="13.42578125" style="29" customWidth="1"/>
    <col min="11250" max="11250" width="11.28515625" style="29" customWidth="1"/>
    <col min="11251" max="11251" width="20.85546875" style="29" bestFit="1" customWidth="1"/>
    <col min="11252" max="11252" width="13.28515625" style="29" customWidth="1"/>
    <col min="11253" max="11253" width="19.7109375" style="29" customWidth="1"/>
    <col min="11254" max="11254" width="11.5703125" style="29" customWidth="1"/>
    <col min="11255" max="11255" width="23.28515625" style="29" customWidth="1"/>
    <col min="11256" max="11256" width="15.5703125" style="29" customWidth="1"/>
    <col min="11257" max="11499" width="9.140625" style="29"/>
    <col min="11500" max="11500" width="3.7109375" style="29" customWidth="1"/>
    <col min="11501" max="11501" width="12.85546875" style="29" customWidth="1"/>
    <col min="11502" max="11502" width="37.5703125" style="29" bestFit="1" customWidth="1"/>
    <col min="11503" max="11503" width="13.85546875" style="29" customWidth="1"/>
    <col min="11504" max="11504" width="13" style="29" customWidth="1"/>
    <col min="11505" max="11505" width="13.42578125" style="29" customWidth="1"/>
    <col min="11506" max="11506" width="11.28515625" style="29" customWidth="1"/>
    <col min="11507" max="11507" width="20.85546875" style="29" bestFit="1" customWidth="1"/>
    <col min="11508" max="11508" width="13.28515625" style="29" customWidth="1"/>
    <col min="11509" max="11509" width="19.7109375" style="29" customWidth="1"/>
    <col min="11510" max="11510" width="11.5703125" style="29" customWidth="1"/>
    <col min="11511" max="11511" width="23.28515625" style="29" customWidth="1"/>
    <col min="11512" max="11512" width="15.5703125" style="29" customWidth="1"/>
    <col min="11513" max="11755" width="9.140625" style="29"/>
    <col min="11756" max="11756" width="3.7109375" style="29" customWidth="1"/>
    <col min="11757" max="11757" width="12.85546875" style="29" customWidth="1"/>
    <col min="11758" max="11758" width="37.5703125" style="29" bestFit="1" customWidth="1"/>
    <col min="11759" max="11759" width="13.85546875" style="29" customWidth="1"/>
    <col min="11760" max="11760" width="13" style="29" customWidth="1"/>
    <col min="11761" max="11761" width="13.42578125" style="29" customWidth="1"/>
    <col min="11762" max="11762" width="11.28515625" style="29" customWidth="1"/>
    <col min="11763" max="11763" width="20.85546875" style="29" bestFit="1" customWidth="1"/>
    <col min="11764" max="11764" width="13.28515625" style="29" customWidth="1"/>
    <col min="11765" max="11765" width="19.7109375" style="29" customWidth="1"/>
    <col min="11766" max="11766" width="11.5703125" style="29" customWidth="1"/>
    <col min="11767" max="11767" width="23.28515625" style="29" customWidth="1"/>
    <col min="11768" max="11768" width="15.5703125" style="29" customWidth="1"/>
    <col min="11769" max="12011" width="9.140625" style="29"/>
    <col min="12012" max="12012" width="3.7109375" style="29" customWidth="1"/>
    <col min="12013" max="12013" width="12.85546875" style="29" customWidth="1"/>
    <col min="12014" max="12014" width="37.5703125" style="29" bestFit="1" customWidth="1"/>
    <col min="12015" max="12015" width="13.85546875" style="29" customWidth="1"/>
    <col min="12016" max="12016" width="13" style="29" customWidth="1"/>
    <col min="12017" max="12017" width="13.42578125" style="29" customWidth="1"/>
    <col min="12018" max="12018" width="11.28515625" style="29" customWidth="1"/>
    <col min="12019" max="12019" width="20.85546875" style="29" bestFit="1" customWidth="1"/>
    <col min="12020" max="12020" width="13.28515625" style="29" customWidth="1"/>
    <col min="12021" max="12021" width="19.7109375" style="29" customWidth="1"/>
    <col min="12022" max="12022" width="11.5703125" style="29" customWidth="1"/>
    <col min="12023" max="12023" width="23.28515625" style="29" customWidth="1"/>
    <col min="12024" max="12024" width="15.5703125" style="29" customWidth="1"/>
    <col min="12025" max="12267" width="9.140625" style="29"/>
    <col min="12268" max="12268" width="3.7109375" style="29" customWidth="1"/>
    <col min="12269" max="12269" width="12.85546875" style="29" customWidth="1"/>
    <col min="12270" max="12270" width="37.5703125" style="29" bestFit="1" customWidth="1"/>
    <col min="12271" max="12271" width="13.85546875" style="29" customWidth="1"/>
    <col min="12272" max="12272" width="13" style="29" customWidth="1"/>
    <col min="12273" max="12273" width="13.42578125" style="29" customWidth="1"/>
    <col min="12274" max="12274" width="11.28515625" style="29" customWidth="1"/>
    <col min="12275" max="12275" width="20.85546875" style="29" bestFit="1" customWidth="1"/>
    <col min="12276" max="12276" width="13.28515625" style="29" customWidth="1"/>
    <col min="12277" max="12277" width="19.7109375" style="29" customWidth="1"/>
    <col min="12278" max="12278" width="11.5703125" style="29" customWidth="1"/>
    <col min="12279" max="12279" width="23.28515625" style="29" customWidth="1"/>
    <col min="12280" max="12280" width="15.5703125" style="29" customWidth="1"/>
    <col min="12281" max="12523" width="9.140625" style="29"/>
    <col min="12524" max="12524" width="3.7109375" style="29" customWidth="1"/>
    <col min="12525" max="12525" width="12.85546875" style="29" customWidth="1"/>
    <col min="12526" max="12526" width="37.5703125" style="29" bestFit="1" customWidth="1"/>
    <col min="12527" max="12527" width="13.85546875" style="29" customWidth="1"/>
    <col min="12528" max="12528" width="13" style="29" customWidth="1"/>
    <col min="12529" max="12529" width="13.42578125" style="29" customWidth="1"/>
    <col min="12530" max="12530" width="11.28515625" style="29" customWidth="1"/>
    <col min="12531" max="12531" width="20.85546875" style="29" bestFit="1" customWidth="1"/>
    <col min="12532" max="12532" width="13.28515625" style="29" customWidth="1"/>
    <col min="12533" max="12533" width="19.7109375" style="29" customWidth="1"/>
    <col min="12534" max="12534" width="11.5703125" style="29" customWidth="1"/>
    <col min="12535" max="12535" width="23.28515625" style="29" customWidth="1"/>
    <col min="12536" max="12536" width="15.5703125" style="29" customWidth="1"/>
    <col min="12537" max="12779" width="9.140625" style="29"/>
    <col min="12780" max="12780" width="3.7109375" style="29" customWidth="1"/>
    <col min="12781" max="12781" width="12.85546875" style="29" customWidth="1"/>
    <col min="12782" max="12782" width="37.5703125" style="29" bestFit="1" customWidth="1"/>
    <col min="12783" max="12783" width="13.85546875" style="29" customWidth="1"/>
    <col min="12784" max="12784" width="13" style="29" customWidth="1"/>
    <col min="12785" max="12785" width="13.42578125" style="29" customWidth="1"/>
    <col min="12786" max="12786" width="11.28515625" style="29" customWidth="1"/>
    <col min="12787" max="12787" width="20.85546875" style="29" bestFit="1" customWidth="1"/>
    <col min="12788" max="12788" width="13.28515625" style="29" customWidth="1"/>
    <col min="12789" max="12789" width="19.7109375" style="29" customWidth="1"/>
    <col min="12790" max="12790" width="11.5703125" style="29" customWidth="1"/>
    <col min="12791" max="12791" width="23.28515625" style="29" customWidth="1"/>
    <col min="12792" max="12792" width="15.5703125" style="29" customWidth="1"/>
    <col min="12793" max="13035" width="9.140625" style="29"/>
    <col min="13036" max="13036" width="3.7109375" style="29" customWidth="1"/>
    <col min="13037" max="13037" width="12.85546875" style="29" customWidth="1"/>
    <col min="13038" max="13038" width="37.5703125" style="29" bestFit="1" customWidth="1"/>
    <col min="13039" max="13039" width="13.85546875" style="29" customWidth="1"/>
    <col min="13040" max="13040" width="13" style="29" customWidth="1"/>
    <col min="13041" max="13041" width="13.42578125" style="29" customWidth="1"/>
    <col min="13042" max="13042" width="11.28515625" style="29" customWidth="1"/>
    <col min="13043" max="13043" width="20.85546875" style="29" bestFit="1" customWidth="1"/>
    <col min="13044" max="13044" width="13.28515625" style="29" customWidth="1"/>
    <col min="13045" max="13045" width="19.7109375" style="29" customWidth="1"/>
    <col min="13046" max="13046" width="11.5703125" style="29" customWidth="1"/>
    <col min="13047" max="13047" width="23.28515625" style="29" customWidth="1"/>
    <col min="13048" max="13048" width="15.5703125" style="29" customWidth="1"/>
    <col min="13049" max="13291" width="9.140625" style="29"/>
    <col min="13292" max="13292" width="3.7109375" style="29" customWidth="1"/>
    <col min="13293" max="13293" width="12.85546875" style="29" customWidth="1"/>
    <col min="13294" max="13294" width="37.5703125" style="29" bestFit="1" customWidth="1"/>
    <col min="13295" max="13295" width="13.85546875" style="29" customWidth="1"/>
    <col min="13296" max="13296" width="13" style="29" customWidth="1"/>
    <col min="13297" max="13297" width="13.42578125" style="29" customWidth="1"/>
    <col min="13298" max="13298" width="11.28515625" style="29" customWidth="1"/>
    <col min="13299" max="13299" width="20.85546875" style="29" bestFit="1" customWidth="1"/>
    <col min="13300" max="13300" width="13.28515625" style="29" customWidth="1"/>
    <col min="13301" max="13301" width="19.7109375" style="29" customWidth="1"/>
    <col min="13302" max="13302" width="11.5703125" style="29" customWidth="1"/>
    <col min="13303" max="13303" width="23.28515625" style="29" customWidth="1"/>
    <col min="13304" max="13304" width="15.5703125" style="29" customWidth="1"/>
    <col min="13305" max="13547" width="9.140625" style="29"/>
    <col min="13548" max="13548" width="3.7109375" style="29" customWidth="1"/>
    <col min="13549" max="13549" width="12.85546875" style="29" customWidth="1"/>
    <col min="13550" max="13550" width="37.5703125" style="29" bestFit="1" customWidth="1"/>
    <col min="13551" max="13551" width="13.85546875" style="29" customWidth="1"/>
    <col min="13552" max="13552" width="13" style="29" customWidth="1"/>
    <col min="13553" max="13553" width="13.42578125" style="29" customWidth="1"/>
    <col min="13554" max="13554" width="11.28515625" style="29" customWidth="1"/>
    <col min="13555" max="13555" width="20.85546875" style="29" bestFit="1" customWidth="1"/>
    <col min="13556" max="13556" width="13.28515625" style="29" customWidth="1"/>
    <col min="13557" max="13557" width="19.7109375" style="29" customWidth="1"/>
    <col min="13558" max="13558" width="11.5703125" style="29" customWidth="1"/>
    <col min="13559" max="13559" width="23.28515625" style="29" customWidth="1"/>
    <col min="13560" max="13560" width="15.5703125" style="29" customWidth="1"/>
    <col min="13561" max="13803" width="9.140625" style="29"/>
    <col min="13804" max="13804" width="3.7109375" style="29" customWidth="1"/>
    <col min="13805" max="13805" width="12.85546875" style="29" customWidth="1"/>
    <col min="13806" max="13806" width="37.5703125" style="29" bestFit="1" customWidth="1"/>
    <col min="13807" max="13807" width="13.85546875" style="29" customWidth="1"/>
    <col min="13808" max="13808" width="13" style="29" customWidth="1"/>
    <col min="13809" max="13809" width="13.42578125" style="29" customWidth="1"/>
    <col min="13810" max="13810" width="11.28515625" style="29" customWidth="1"/>
    <col min="13811" max="13811" width="20.85546875" style="29" bestFit="1" customWidth="1"/>
    <col min="13812" max="13812" width="13.28515625" style="29" customWidth="1"/>
    <col min="13813" max="13813" width="19.7109375" style="29" customWidth="1"/>
    <col min="13814" max="13814" width="11.5703125" style="29" customWidth="1"/>
    <col min="13815" max="13815" width="23.28515625" style="29" customWidth="1"/>
    <col min="13816" max="13816" width="15.5703125" style="29" customWidth="1"/>
    <col min="13817" max="14059" width="9.140625" style="29"/>
    <col min="14060" max="14060" width="3.7109375" style="29" customWidth="1"/>
    <col min="14061" max="14061" width="12.85546875" style="29" customWidth="1"/>
    <col min="14062" max="14062" width="37.5703125" style="29" bestFit="1" customWidth="1"/>
    <col min="14063" max="14063" width="13.85546875" style="29" customWidth="1"/>
    <col min="14064" max="14064" width="13" style="29" customWidth="1"/>
    <col min="14065" max="14065" width="13.42578125" style="29" customWidth="1"/>
    <col min="14066" max="14066" width="11.28515625" style="29" customWidth="1"/>
    <col min="14067" max="14067" width="20.85546875" style="29" bestFit="1" customWidth="1"/>
    <col min="14068" max="14068" width="13.28515625" style="29" customWidth="1"/>
    <col min="14069" max="14069" width="19.7109375" style="29" customWidth="1"/>
    <col min="14070" max="14070" width="11.5703125" style="29" customWidth="1"/>
    <col min="14071" max="14071" width="23.28515625" style="29" customWidth="1"/>
    <col min="14072" max="14072" width="15.5703125" style="29" customWidth="1"/>
    <col min="14073" max="14315" width="9.140625" style="29"/>
    <col min="14316" max="14316" width="3.7109375" style="29" customWidth="1"/>
    <col min="14317" max="14317" width="12.85546875" style="29" customWidth="1"/>
    <col min="14318" max="14318" width="37.5703125" style="29" bestFit="1" customWidth="1"/>
    <col min="14319" max="14319" width="13.85546875" style="29" customWidth="1"/>
    <col min="14320" max="14320" width="13" style="29" customWidth="1"/>
    <col min="14321" max="14321" width="13.42578125" style="29" customWidth="1"/>
    <col min="14322" max="14322" width="11.28515625" style="29" customWidth="1"/>
    <col min="14323" max="14323" width="20.85546875" style="29" bestFit="1" customWidth="1"/>
    <col min="14324" max="14324" width="13.28515625" style="29" customWidth="1"/>
    <col min="14325" max="14325" width="19.7109375" style="29" customWidth="1"/>
    <col min="14326" max="14326" width="11.5703125" style="29" customWidth="1"/>
    <col min="14327" max="14327" width="23.28515625" style="29" customWidth="1"/>
    <col min="14328" max="14328" width="15.5703125" style="29" customWidth="1"/>
    <col min="14329" max="14571" width="9.140625" style="29"/>
    <col min="14572" max="14572" width="3.7109375" style="29" customWidth="1"/>
    <col min="14573" max="14573" width="12.85546875" style="29" customWidth="1"/>
    <col min="14574" max="14574" width="37.5703125" style="29" bestFit="1" customWidth="1"/>
    <col min="14575" max="14575" width="13.85546875" style="29" customWidth="1"/>
    <col min="14576" max="14576" width="13" style="29" customWidth="1"/>
    <col min="14577" max="14577" width="13.42578125" style="29" customWidth="1"/>
    <col min="14578" max="14578" width="11.28515625" style="29" customWidth="1"/>
    <col min="14579" max="14579" width="20.85546875" style="29" bestFit="1" customWidth="1"/>
    <col min="14580" max="14580" width="13.28515625" style="29" customWidth="1"/>
    <col min="14581" max="14581" width="19.7109375" style="29" customWidth="1"/>
    <col min="14582" max="14582" width="11.5703125" style="29" customWidth="1"/>
    <col min="14583" max="14583" width="23.28515625" style="29" customWidth="1"/>
    <col min="14584" max="14584" width="15.5703125" style="29" customWidth="1"/>
    <col min="14585" max="14827" width="9.140625" style="29"/>
    <col min="14828" max="14828" width="3.7109375" style="29" customWidth="1"/>
    <col min="14829" max="14829" width="12.85546875" style="29" customWidth="1"/>
    <col min="14830" max="14830" width="37.5703125" style="29" bestFit="1" customWidth="1"/>
    <col min="14831" max="14831" width="13.85546875" style="29" customWidth="1"/>
    <col min="14832" max="14832" width="13" style="29" customWidth="1"/>
    <col min="14833" max="14833" width="13.42578125" style="29" customWidth="1"/>
    <col min="14834" max="14834" width="11.28515625" style="29" customWidth="1"/>
    <col min="14835" max="14835" width="20.85546875" style="29" bestFit="1" customWidth="1"/>
    <col min="14836" max="14836" width="13.28515625" style="29" customWidth="1"/>
    <col min="14837" max="14837" width="19.7109375" style="29" customWidth="1"/>
    <col min="14838" max="14838" width="11.5703125" style="29" customWidth="1"/>
    <col min="14839" max="14839" width="23.28515625" style="29" customWidth="1"/>
    <col min="14840" max="14840" width="15.5703125" style="29" customWidth="1"/>
    <col min="14841" max="15083" width="9.140625" style="29"/>
    <col min="15084" max="15084" width="3.7109375" style="29" customWidth="1"/>
    <col min="15085" max="15085" width="12.85546875" style="29" customWidth="1"/>
    <col min="15086" max="15086" width="37.5703125" style="29" bestFit="1" customWidth="1"/>
    <col min="15087" max="15087" width="13.85546875" style="29" customWidth="1"/>
    <col min="15088" max="15088" width="13" style="29" customWidth="1"/>
    <col min="15089" max="15089" width="13.42578125" style="29" customWidth="1"/>
    <col min="15090" max="15090" width="11.28515625" style="29" customWidth="1"/>
    <col min="15091" max="15091" width="20.85546875" style="29" bestFit="1" customWidth="1"/>
    <col min="15092" max="15092" width="13.28515625" style="29" customWidth="1"/>
    <col min="15093" max="15093" width="19.7109375" style="29" customWidth="1"/>
    <col min="15094" max="15094" width="11.5703125" style="29" customWidth="1"/>
    <col min="15095" max="15095" width="23.28515625" style="29" customWidth="1"/>
    <col min="15096" max="15096" width="15.5703125" style="29" customWidth="1"/>
    <col min="15097" max="15339" width="9.140625" style="29"/>
    <col min="15340" max="15340" width="3.7109375" style="29" customWidth="1"/>
    <col min="15341" max="15341" width="12.85546875" style="29" customWidth="1"/>
    <col min="15342" max="15342" width="37.5703125" style="29" bestFit="1" customWidth="1"/>
    <col min="15343" max="15343" width="13.85546875" style="29" customWidth="1"/>
    <col min="15344" max="15344" width="13" style="29" customWidth="1"/>
    <col min="15345" max="15345" width="13.42578125" style="29" customWidth="1"/>
    <col min="15346" max="15346" width="11.28515625" style="29" customWidth="1"/>
    <col min="15347" max="15347" width="20.85546875" style="29" bestFit="1" customWidth="1"/>
    <col min="15348" max="15348" width="13.28515625" style="29" customWidth="1"/>
    <col min="15349" max="15349" width="19.7109375" style="29" customWidth="1"/>
    <col min="15350" max="15350" width="11.5703125" style="29" customWidth="1"/>
    <col min="15351" max="15351" width="23.28515625" style="29" customWidth="1"/>
    <col min="15352" max="15352" width="15.5703125" style="29" customWidth="1"/>
    <col min="15353" max="15595" width="9.140625" style="29"/>
    <col min="15596" max="15596" width="3.7109375" style="29" customWidth="1"/>
    <col min="15597" max="15597" width="12.85546875" style="29" customWidth="1"/>
    <col min="15598" max="15598" width="37.5703125" style="29" bestFit="1" customWidth="1"/>
    <col min="15599" max="15599" width="13.85546875" style="29" customWidth="1"/>
    <col min="15600" max="15600" width="13" style="29" customWidth="1"/>
    <col min="15601" max="15601" width="13.42578125" style="29" customWidth="1"/>
    <col min="15602" max="15602" width="11.28515625" style="29" customWidth="1"/>
    <col min="15603" max="15603" width="20.85546875" style="29" bestFit="1" customWidth="1"/>
    <col min="15604" max="15604" width="13.28515625" style="29" customWidth="1"/>
    <col min="15605" max="15605" width="19.7109375" style="29" customWidth="1"/>
    <col min="15606" max="15606" width="11.5703125" style="29" customWidth="1"/>
    <col min="15607" max="15607" width="23.28515625" style="29" customWidth="1"/>
    <col min="15608" max="15608" width="15.5703125" style="29" customWidth="1"/>
    <col min="15609" max="15851" width="9.140625" style="29"/>
    <col min="15852" max="15852" width="3.7109375" style="29" customWidth="1"/>
    <col min="15853" max="15853" width="12.85546875" style="29" customWidth="1"/>
    <col min="15854" max="15854" width="37.5703125" style="29" bestFit="1" customWidth="1"/>
    <col min="15855" max="15855" width="13.85546875" style="29" customWidth="1"/>
    <col min="15856" max="15856" width="13" style="29" customWidth="1"/>
    <col min="15857" max="15857" width="13.42578125" style="29" customWidth="1"/>
    <col min="15858" max="15858" width="11.28515625" style="29" customWidth="1"/>
    <col min="15859" max="15859" width="20.85546875" style="29" bestFit="1" customWidth="1"/>
    <col min="15860" max="15860" width="13.28515625" style="29" customWidth="1"/>
    <col min="15861" max="15861" width="19.7109375" style="29" customWidth="1"/>
    <col min="15862" max="15862" width="11.5703125" style="29" customWidth="1"/>
    <col min="15863" max="15863" width="23.28515625" style="29" customWidth="1"/>
    <col min="15864" max="15864" width="15.5703125" style="29" customWidth="1"/>
    <col min="15865" max="16107" width="9.140625" style="29"/>
    <col min="16108" max="16108" width="3.7109375" style="29" customWidth="1"/>
    <col min="16109" max="16109" width="12.85546875" style="29" customWidth="1"/>
    <col min="16110" max="16110" width="37.5703125" style="29" bestFit="1" customWidth="1"/>
    <col min="16111" max="16111" width="13.85546875" style="29" customWidth="1"/>
    <col min="16112" max="16112" width="13" style="29" customWidth="1"/>
    <col min="16113" max="16113" width="13.42578125" style="29" customWidth="1"/>
    <col min="16114" max="16114" width="11.28515625" style="29" customWidth="1"/>
    <col min="16115" max="16115" width="20.85546875" style="29" bestFit="1" customWidth="1"/>
    <col min="16116" max="16116" width="13.28515625" style="29" customWidth="1"/>
    <col min="16117" max="16117" width="19.7109375" style="29" customWidth="1"/>
    <col min="16118" max="16118" width="11.5703125" style="29" customWidth="1"/>
    <col min="16119" max="16119" width="23.28515625" style="29" customWidth="1"/>
    <col min="16120" max="16120" width="15.5703125" style="29" customWidth="1"/>
    <col min="16121" max="16384" width="9.140625" style="29"/>
  </cols>
  <sheetData>
    <row r="1" spans="1:4" ht="15.75" x14ac:dyDescent="0.25">
      <c r="A1" s="288"/>
      <c r="B1" s="288"/>
      <c r="C1" s="288"/>
      <c r="D1" s="288"/>
    </row>
    <row r="2" spans="1:4" s="31" customFormat="1" ht="38.25" customHeight="1" thickBot="1" x14ac:dyDescent="0.3">
      <c r="A2" s="119" t="s">
        <v>58</v>
      </c>
      <c r="B2" s="119" t="s">
        <v>125</v>
      </c>
      <c r="C2" s="119" t="s">
        <v>145</v>
      </c>
      <c r="D2" s="119" t="s">
        <v>223</v>
      </c>
    </row>
    <row r="3" spans="1:4" ht="12.75" customHeight="1" x14ac:dyDescent="0.2">
      <c r="A3" s="120" t="s">
        <v>181</v>
      </c>
      <c r="B3" s="289" t="s">
        <v>42</v>
      </c>
      <c r="C3" s="273">
        <v>2</v>
      </c>
      <c r="D3" s="263">
        <v>14200</v>
      </c>
    </row>
    <row r="4" spans="1:4" ht="13.5" thickBot="1" x14ac:dyDescent="0.25">
      <c r="A4" s="121" t="s">
        <v>182</v>
      </c>
      <c r="B4" s="290"/>
      <c r="C4" s="274"/>
      <c r="D4" s="275"/>
    </row>
    <row r="5" spans="1:4" ht="12.75" customHeight="1" x14ac:dyDescent="0.2">
      <c r="A5" s="120" t="s">
        <v>183</v>
      </c>
      <c r="B5" s="271" t="s">
        <v>191</v>
      </c>
      <c r="C5" s="273">
        <v>1</v>
      </c>
      <c r="D5" s="263">
        <v>7100</v>
      </c>
    </row>
    <row r="6" spans="1:4" x14ac:dyDescent="0.2">
      <c r="A6" s="122" t="s">
        <v>184</v>
      </c>
      <c r="B6" s="236"/>
      <c r="C6" s="285"/>
      <c r="D6" s="264"/>
    </row>
    <row r="7" spans="1:4" x14ac:dyDescent="0.2">
      <c r="A7" s="122" t="s">
        <v>185</v>
      </c>
      <c r="B7" s="236"/>
      <c r="C7" s="285"/>
      <c r="D7" s="264"/>
    </row>
    <row r="8" spans="1:4" ht="13.5" thickBot="1" x14ac:dyDescent="0.25">
      <c r="A8" s="121" t="s">
        <v>186</v>
      </c>
      <c r="B8" s="272"/>
      <c r="C8" s="274"/>
      <c r="D8" s="275"/>
    </row>
    <row r="9" spans="1:4" x14ac:dyDescent="0.2">
      <c r="A9" s="120" t="s">
        <v>183</v>
      </c>
      <c r="B9" s="271" t="s">
        <v>192</v>
      </c>
      <c r="C9" s="273">
        <v>2</v>
      </c>
      <c r="D9" s="263">
        <v>14200</v>
      </c>
    </row>
    <row r="10" spans="1:4" x14ac:dyDescent="0.2">
      <c r="A10" s="122" t="s">
        <v>184</v>
      </c>
      <c r="B10" s="236"/>
      <c r="C10" s="285"/>
      <c r="D10" s="264"/>
    </row>
    <row r="11" spans="1:4" x14ac:dyDescent="0.2">
      <c r="A11" s="122" t="s">
        <v>185</v>
      </c>
      <c r="B11" s="236"/>
      <c r="C11" s="285"/>
      <c r="D11" s="264"/>
    </row>
    <row r="12" spans="1:4" x14ac:dyDescent="0.2">
      <c r="A12" s="122" t="s">
        <v>186</v>
      </c>
      <c r="B12" s="236"/>
      <c r="C12" s="285"/>
      <c r="D12" s="264"/>
    </row>
    <row r="13" spans="1:4" ht="13.5" thickBot="1" x14ac:dyDescent="0.25">
      <c r="A13" s="121" t="s">
        <v>190</v>
      </c>
      <c r="B13" s="272"/>
      <c r="C13" s="274"/>
      <c r="D13" s="275"/>
    </row>
    <row r="14" spans="1:4" ht="12.75" customHeight="1" x14ac:dyDescent="0.2">
      <c r="A14" s="120" t="s">
        <v>187</v>
      </c>
      <c r="B14" s="259" t="s">
        <v>160</v>
      </c>
      <c r="C14" s="260">
        <v>2</v>
      </c>
      <c r="D14" s="267">
        <v>14200</v>
      </c>
    </row>
    <row r="15" spans="1:4" x14ac:dyDescent="0.2">
      <c r="A15" s="122" t="s">
        <v>188</v>
      </c>
      <c r="B15" s="249"/>
      <c r="C15" s="261"/>
      <c r="D15" s="268"/>
    </row>
    <row r="16" spans="1:4" ht="13.5" thickBot="1" x14ac:dyDescent="0.25">
      <c r="A16" s="121" t="s">
        <v>189</v>
      </c>
      <c r="B16" s="265"/>
      <c r="C16" s="266"/>
      <c r="D16" s="269"/>
    </row>
    <row r="17" spans="1:4" ht="15" customHeight="1" x14ac:dyDescent="0.2">
      <c r="A17" s="120" t="s">
        <v>190</v>
      </c>
      <c r="B17" s="271" t="s">
        <v>193</v>
      </c>
      <c r="C17" s="260">
        <v>1</v>
      </c>
      <c r="D17" s="267">
        <v>7100</v>
      </c>
    </row>
    <row r="18" spans="1:4" ht="29.25" customHeight="1" thickBot="1" x14ac:dyDescent="0.25">
      <c r="A18" s="123" t="s">
        <v>80</v>
      </c>
      <c r="B18" s="272"/>
      <c r="C18" s="266"/>
      <c r="D18" s="269"/>
    </row>
    <row r="19" spans="1:4" ht="15" customHeight="1" x14ac:dyDescent="0.2">
      <c r="A19" s="124" t="s">
        <v>61</v>
      </c>
      <c r="B19" s="271" t="s">
        <v>194</v>
      </c>
      <c r="C19" s="273">
        <v>2</v>
      </c>
      <c r="D19" s="263">
        <v>14200</v>
      </c>
    </row>
    <row r="20" spans="1:4" ht="15" x14ac:dyDescent="0.2">
      <c r="A20" s="125" t="s">
        <v>63</v>
      </c>
      <c r="B20" s="236"/>
      <c r="C20" s="285"/>
      <c r="D20" s="264"/>
    </row>
    <row r="21" spans="1:4" ht="15.75" thickBot="1" x14ac:dyDescent="0.25">
      <c r="A21" s="136" t="s">
        <v>66</v>
      </c>
      <c r="B21" s="236"/>
      <c r="C21" s="285"/>
      <c r="D21" s="264"/>
    </row>
    <row r="22" spans="1:4" ht="15" customHeight="1" x14ac:dyDescent="0.2">
      <c r="A22" s="124" t="s">
        <v>61</v>
      </c>
      <c r="B22" s="259" t="s">
        <v>195</v>
      </c>
      <c r="C22" s="260">
        <v>3</v>
      </c>
      <c r="D22" s="267">
        <v>21300</v>
      </c>
    </row>
    <row r="23" spans="1:4" ht="15" x14ac:dyDescent="0.2">
      <c r="A23" s="125" t="s">
        <v>63</v>
      </c>
      <c r="B23" s="249"/>
      <c r="C23" s="261"/>
      <c r="D23" s="268"/>
    </row>
    <row r="24" spans="1:4" ht="15.75" customHeight="1" x14ac:dyDescent="0.2">
      <c r="A24" s="143" t="s">
        <v>80</v>
      </c>
      <c r="B24" s="249"/>
      <c r="C24" s="261"/>
      <c r="D24" s="268"/>
    </row>
    <row r="25" spans="1:4" ht="15" x14ac:dyDescent="0.2">
      <c r="A25" s="125" t="s">
        <v>66</v>
      </c>
      <c r="B25" s="249"/>
      <c r="C25" s="261"/>
      <c r="D25" s="268"/>
    </row>
    <row r="26" spans="1:4" ht="15.75" thickBot="1" x14ac:dyDescent="0.25">
      <c r="A26" s="126" t="s">
        <v>65</v>
      </c>
      <c r="B26" s="265"/>
      <c r="C26" s="266"/>
      <c r="D26" s="269"/>
    </row>
    <row r="27" spans="1:4" ht="12.75" customHeight="1" x14ac:dyDescent="0.2">
      <c r="A27" s="140" t="s">
        <v>86</v>
      </c>
      <c r="B27" s="236" t="s">
        <v>196</v>
      </c>
      <c r="C27" s="285">
        <v>1</v>
      </c>
      <c r="D27" s="264">
        <v>7100</v>
      </c>
    </row>
    <row r="28" spans="1:4" x14ac:dyDescent="0.2">
      <c r="A28" s="122" t="s">
        <v>87</v>
      </c>
      <c r="B28" s="236"/>
      <c r="C28" s="285"/>
      <c r="D28" s="264"/>
    </row>
    <row r="29" spans="1:4" x14ac:dyDescent="0.2">
      <c r="A29" s="122" t="s">
        <v>88</v>
      </c>
      <c r="B29" s="236"/>
      <c r="C29" s="285"/>
      <c r="D29" s="264"/>
    </row>
    <row r="30" spans="1:4" ht="13.5" thickBot="1" x14ac:dyDescent="0.25">
      <c r="A30" s="121" t="s">
        <v>89</v>
      </c>
      <c r="B30" s="272"/>
      <c r="C30" s="274"/>
      <c r="D30" s="275"/>
    </row>
    <row r="31" spans="1:4" x14ac:dyDescent="0.2">
      <c r="A31" s="120" t="s">
        <v>86</v>
      </c>
      <c r="B31" s="271" t="s">
        <v>197</v>
      </c>
      <c r="C31" s="273">
        <v>2</v>
      </c>
      <c r="D31" s="263">
        <v>14200</v>
      </c>
    </row>
    <row r="32" spans="1:4" x14ac:dyDescent="0.2">
      <c r="A32" s="122" t="s">
        <v>87</v>
      </c>
      <c r="B32" s="236"/>
      <c r="C32" s="285"/>
      <c r="D32" s="264"/>
    </row>
    <row r="33" spans="1:4" x14ac:dyDescent="0.2">
      <c r="A33" s="122" t="s">
        <v>88</v>
      </c>
      <c r="B33" s="236"/>
      <c r="C33" s="285"/>
      <c r="D33" s="264"/>
    </row>
    <row r="34" spans="1:4" ht="13.5" thickBot="1" x14ac:dyDescent="0.25">
      <c r="A34" s="121" t="s">
        <v>89</v>
      </c>
      <c r="B34" s="272"/>
      <c r="C34" s="274"/>
      <c r="D34" s="275"/>
    </row>
    <row r="35" spans="1:4" ht="25.5" customHeight="1" thickBot="1" x14ac:dyDescent="0.25">
      <c r="A35" s="127" t="s">
        <v>134</v>
      </c>
      <c r="B35" s="128" t="s">
        <v>179</v>
      </c>
      <c r="C35" s="129">
        <v>1</v>
      </c>
      <c r="D35" s="130">
        <v>7100</v>
      </c>
    </row>
    <row r="36" spans="1:4" ht="28.5" customHeight="1" thickBot="1" x14ac:dyDescent="0.25">
      <c r="A36" s="131" t="s">
        <v>133</v>
      </c>
      <c r="B36" s="128" t="s">
        <v>178</v>
      </c>
      <c r="C36" s="129">
        <v>1</v>
      </c>
      <c r="D36" s="130">
        <v>7100</v>
      </c>
    </row>
    <row r="37" spans="1:4" ht="23.25" customHeight="1" x14ac:dyDescent="0.2">
      <c r="A37" s="132" t="s">
        <v>117</v>
      </c>
      <c r="B37" s="271" t="s">
        <v>228</v>
      </c>
      <c r="C37" s="273">
        <v>1</v>
      </c>
      <c r="D37" s="263">
        <v>7100</v>
      </c>
    </row>
    <row r="38" spans="1:4" ht="25.5" customHeight="1" thickBot="1" x14ac:dyDescent="0.25">
      <c r="A38" s="133" t="s">
        <v>123</v>
      </c>
      <c r="B38" s="272"/>
      <c r="C38" s="274"/>
      <c r="D38" s="275"/>
    </row>
    <row r="39" spans="1:4" x14ac:dyDescent="0.2">
      <c r="A39" s="132" t="s">
        <v>70</v>
      </c>
      <c r="B39" s="271" t="s">
        <v>229</v>
      </c>
      <c r="C39" s="273">
        <v>1</v>
      </c>
      <c r="D39" s="267">
        <v>7100</v>
      </c>
    </row>
    <row r="40" spans="1:4" x14ac:dyDescent="0.2">
      <c r="A40" s="134" t="s">
        <v>76</v>
      </c>
      <c r="B40" s="236"/>
      <c r="C40" s="285"/>
      <c r="D40" s="268"/>
    </row>
    <row r="41" spans="1:4" ht="13.5" thickBot="1" x14ac:dyDescent="0.25">
      <c r="A41" s="133" t="s">
        <v>144</v>
      </c>
      <c r="B41" s="272"/>
      <c r="C41" s="274"/>
      <c r="D41" s="269"/>
    </row>
    <row r="42" spans="1:4" ht="21.75" customHeight="1" x14ac:dyDescent="0.2">
      <c r="A42" s="132" t="s">
        <v>180</v>
      </c>
      <c r="B42" s="286" t="s">
        <v>198</v>
      </c>
      <c r="C42" s="273">
        <v>1</v>
      </c>
      <c r="D42" s="267">
        <v>7100</v>
      </c>
    </row>
    <row r="43" spans="1:4" ht="18.75" customHeight="1" thickBot="1" x14ac:dyDescent="0.25">
      <c r="A43" s="133" t="s">
        <v>122</v>
      </c>
      <c r="B43" s="287"/>
      <c r="C43" s="274"/>
      <c r="D43" s="269"/>
    </row>
    <row r="44" spans="1:4" x14ac:dyDescent="0.2">
      <c r="A44" s="135" t="s">
        <v>72</v>
      </c>
      <c r="B44" s="271" t="s">
        <v>234</v>
      </c>
      <c r="C44" s="273">
        <v>1</v>
      </c>
      <c r="D44" s="263">
        <v>7100</v>
      </c>
    </row>
    <row r="45" spans="1:4" ht="15" x14ac:dyDescent="0.2">
      <c r="A45" s="125" t="s">
        <v>73</v>
      </c>
      <c r="B45" s="236"/>
      <c r="C45" s="285"/>
      <c r="D45" s="264"/>
    </row>
    <row r="46" spans="1:4" ht="15" x14ac:dyDescent="0.2">
      <c r="A46" s="125" t="s">
        <v>74</v>
      </c>
      <c r="B46" s="236"/>
      <c r="C46" s="285"/>
      <c r="D46" s="264"/>
    </row>
    <row r="47" spans="1:4" ht="15" x14ac:dyDescent="0.2">
      <c r="A47" s="125" t="s">
        <v>75</v>
      </c>
      <c r="B47" s="236"/>
      <c r="C47" s="285"/>
      <c r="D47" s="264"/>
    </row>
    <row r="48" spans="1:4" ht="15.75" thickBot="1" x14ac:dyDescent="0.25">
      <c r="A48" s="136" t="s">
        <v>77</v>
      </c>
      <c r="B48" s="236"/>
      <c r="C48" s="285"/>
      <c r="D48" s="264"/>
    </row>
    <row r="49" spans="1:4" ht="15" x14ac:dyDescent="0.2">
      <c r="A49" s="124" t="s">
        <v>62</v>
      </c>
      <c r="B49" s="271" t="s">
        <v>199</v>
      </c>
      <c r="C49" s="280">
        <v>1</v>
      </c>
      <c r="D49" s="267">
        <v>7100</v>
      </c>
    </row>
    <row r="50" spans="1:4" ht="15" x14ac:dyDescent="0.2">
      <c r="A50" s="125" t="s">
        <v>64</v>
      </c>
      <c r="B50" s="236"/>
      <c r="C50" s="281"/>
      <c r="D50" s="268"/>
    </row>
    <row r="51" spans="1:4" ht="15.75" thickBot="1" x14ac:dyDescent="0.25">
      <c r="A51" s="136" t="s">
        <v>67</v>
      </c>
      <c r="B51" s="236"/>
      <c r="C51" s="281"/>
      <c r="D51" s="270"/>
    </row>
    <row r="52" spans="1:4" x14ac:dyDescent="0.2">
      <c r="A52" s="132" t="s">
        <v>118</v>
      </c>
      <c r="B52" s="282" t="s">
        <v>200</v>
      </c>
      <c r="C52" s="260">
        <v>1</v>
      </c>
      <c r="D52" s="267">
        <v>7100</v>
      </c>
    </row>
    <row r="53" spans="1:4" x14ac:dyDescent="0.2">
      <c r="A53" s="134" t="s">
        <v>115</v>
      </c>
      <c r="B53" s="283"/>
      <c r="C53" s="261"/>
      <c r="D53" s="268"/>
    </row>
    <row r="54" spans="1:4" ht="13.5" thickBot="1" x14ac:dyDescent="0.25">
      <c r="A54" s="137" t="s">
        <v>121</v>
      </c>
      <c r="B54" s="284"/>
      <c r="C54" s="262"/>
      <c r="D54" s="270"/>
    </row>
    <row r="55" spans="1:4" x14ac:dyDescent="0.2">
      <c r="A55" s="120" t="s">
        <v>98</v>
      </c>
      <c r="B55" s="259" t="s">
        <v>231</v>
      </c>
      <c r="C55" s="260">
        <v>1</v>
      </c>
      <c r="D55" s="267">
        <v>7100</v>
      </c>
    </row>
    <row r="56" spans="1:4" ht="15" customHeight="1" x14ac:dyDescent="0.2">
      <c r="A56" s="122" t="s">
        <v>101</v>
      </c>
      <c r="B56" s="249"/>
      <c r="C56" s="261"/>
      <c r="D56" s="268"/>
    </row>
    <row r="57" spans="1:4" ht="15" customHeight="1" x14ac:dyDescent="0.2">
      <c r="A57" s="122" t="s">
        <v>105</v>
      </c>
      <c r="B57" s="249"/>
      <c r="C57" s="261"/>
      <c r="D57" s="268"/>
    </row>
    <row r="58" spans="1:4" ht="15.75" customHeight="1" thickBot="1" x14ac:dyDescent="0.25">
      <c r="A58" s="138" t="s">
        <v>107</v>
      </c>
      <c r="B58" s="232"/>
      <c r="C58" s="262"/>
      <c r="D58" s="270"/>
    </row>
    <row r="59" spans="1:4" ht="26.25" customHeight="1" x14ac:dyDescent="0.2">
      <c r="A59" s="132" t="s">
        <v>127</v>
      </c>
      <c r="B59" s="259" t="s">
        <v>235</v>
      </c>
      <c r="C59" s="260">
        <v>1</v>
      </c>
      <c r="D59" s="267">
        <v>7100</v>
      </c>
    </row>
    <row r="60" spans="1:4" ht="33.75" customHeight="1" thickBot="1" x14ac:dyDescent="0.25">
      <c r="A60" s="137" t="s">
        <v>129</v>
      </c>
      <c r="B60" s="232"/>
      <c r="C60" s="262"/>
      <c r="D60" s="270"/>
    </row>
    <row r="61" spans="1:4" x14ac:dyDescent="0.2">
      <c r="A61" s="120" t="s">
        <v>97</v>
      </c>
      <c r="B61" s="259" t="s">
        <v>201</v>
      </c>
      <c r="C61" s="260">
        <v>1</v>
      </c>
      <c r="D61" s="263">
        <v>7100</v>
      </c>
    </row>
    <row r="62" spans="1:4" ht="15" customHeight="1" x14ac:dyDescent="0.2">
      <c r="A62" s="139" t="s">
        <v>144</v>
      </c>
      <c r="B62" s="249"/>
      <c r="C62" s="261"/>
      <c r="D62" s="264"/>
    </row>
    <row r="63" spans="1:4" ht="15" customHeight="1" thickBot="1" x14ac:dyDescent="0.25">
      <c r="A63" s="138" t="s">
        <v>95</v>
      </c>
      <c r="B63" s="232"/>
      <c r="C63" s="262"/>
      <c r="D63" s="264"/>
    </row>
    <row r="64" spans="1:4" x14ac:dyDescent="0.2">
      <c r="A64" s="120" t="s">
        <v>96</v>
      </c>
      <c r="B64" s="259" t="s">
        <v>202</v>
      </c>
      <c r="C64" s="260">
        <v>1</v>
      </c>
      <c r="D64" s="267">
        <v>7100</v>
      </c>
    </row>
    <row r="65" spans="1:8" x14ac:dyDescent="0.2">
      <c r="A65" s="122" t="s">
        <v>99</v>
      </c>
      <c r="B65" s="249"/>
      <c r="C65" s="261"/>
      <c r="D65" s="268"/>
    </row>
    <row r="66" spans="1:8" ht="13.5" thickBot="1" x14ac:dyDescent="0.25">
      <c r="A66" s="141" t="s">
        <v>128</v>
      </c>
      <c r="B66" s="232"/>
      <c r="C66" s="262"/>
      <c r="D66" s="270"/>
    </row>
    <row r="67" spans="1:8" x14ac:dyDescent="0.2">
      <c r="A67" s="120" t="s">
        <v>100</v>
      </c>
      <c r="B67" s="259" t="s">
        <v>201</v>
      </c>
      <c r="C67" s="260">
        <v>1</v>
      </c>
      <c r="D67" s="267">
        <v>7100</v>
      </c>
    </row>
    <row r="68" spans="1:8" ht="13.5" thickBot="1" x14ac:dyDescent="0.25">
      <c r="A68" s="138" t="s">
        <v>102</v>
      </c>
      <c r="B68" s="232"/>
      <c r="C68" s="262"/>
      <c r="D68" s="270"/>
    </row>
    <row r="69" spans="1:8" x14ac:dyDescent="0.2">
      <c r="A69" s="120" t="s">
        <v>81</v>
      </c>
      <c r="B69" s="259" t="s">
        <v>203</v>
      </c>
      <c r="C69" s="276">
        <v>1</v>
      </c>
      <c r="D69" s="278">
        <v>7100</v>
      </c>
    </row>
    <row r="70" spans="1:8" ht="13.5" thickBot="1" x14ac:dyDescent="0.25">
      <c r="A70" s="138" t="s">
        <v>83</v>
      </c>
      <c r="B70" s="232"/>
      <c r="C70" s="277"/>
      <c r="D70" s="279"/>
    </row>
    <row r="71" spans="1:8" x14ac:dyDescent="0.2">
      <c r="A71" s="132" t="s">
        <v>119</v>
      </c>
      <c r="B71" s="259" t="s">
        <v>204</v>
      </c>
      <c r="C71" s="260">
        <v>1</v>
      </c>
      <c r="D71" s="263">
        <v>7100</v>
      </c>
    </row>
    <row r="72" spans="1:8" ht="15" customHeight="1" x14ac:dyDescent="0.2">
      <c r="A72" s="122" t="s">
        <v>106</v>
      </c>
      <c r="B72" s="249"/>
      <c r="C72" s="261"/>
      <c r="D72" s="264"/>
    </row>
    <row r="73" spans="1:8" ht="15" customHeight="1" x14ac:dyDescent="0.2">
      <c r="A73" s="122" t="s">
        <v>108</v>
      </c>
      <c r="B73" s="249"/>
      <c r="C73" s="261"/>
      <c r="D73" s="264"/>
    </row>
    <row r="74" spans="1:8" ht="15" customHeight="1" x14ac:dyDescent="0.2">
      <c r="A74" s="143" t="s">
        <v>103</v>
      </c>
      <c r="B74" s="249"/>
      <c r="C74" s="261"/>
      <c r="D74" s="264"/>
    </row>
    <row r="75" spans="1:8" ht="15" customHeight="1" thickBot="1" x14ac:dyDescent="0.25">
      <c r="A75" s="133" t="s">
        <v>167</v>
      </c>
      <c r="B75" s="265"/>
      <c r="C75" s="266"/>
      <c r="D75" s="275"/>
    </row>
    <row r="77" spans="1:8" x14ac:dyDescent="0.2">
      <c r="C77" s="142">
        <f>C3+C5+C9+C14+C17+C19+C22+C27+C31+C35+C36+C37+C39+C42+C44+C49+C52+C55+C59+C61+C64+C67+C69+C71</f>
        <v>31</v>
      </c>
      <c r="D77" s="142"/>
      <c r="H77" s="142"/>
    </row>
  </sheetData>
  <mergeCells count="67">
    <mergeCell ref="A1:D1"/>
    <mergeCell ref="B3:B4"/>
    <mergeCell ref="C3:C4"/>
    <mergeCell ref="D3:D4"/>
    <mergeCell ref="B5:B8"/>
    <mergeCell ref="C5:C8"/>
    <mergeCell ref="D5:D8"/>
    <mergeCell ref="D37:D38"/>
    <mergeCell ref="D14:D16"/>
    <mergeCell ref="B17:B18"/>
    <mergeCell ref="C17:C18"/>
    <mergeCell ref="D17:D18"/>
    <mergeCell ref="B19:B21"/>
    <mergeCell ref="C19:C21"/>
    <mergeCell ref="D19:D21"/>
    <mergeCell ref="B31:B34"/>
    <mergeCell ref="C31:C34"/>
    <mergeCell ref="D31:D34"/>
    <mergeCell ref="B14:B16"/>
    <mergeCell ref="C14:C16"/>
    <mergeCell ref="B27:B30"/>
    <mergeCell ref="C27:C30"/>
    <mergeCell ref="D27:D30"/>
    <mergeCell ref="D9:D13"/>
    <mergeCell ref="B49:B51"/>
    <mergeCell ref="C49:C51"/>
    <mergeCell ref="D49:D51"/>
    <mergeCell ref="B52:B54"/>
    <mergeCell ref="C52:C54"/>
    <mergeCell ref="B44:B48"/>
    <mergeCell ref="C44:C48"/>
    <mergeCell ref="D44:D48"/>
    <mergeCell ref="B9:B13"/>
    <mergeCell ref="C9:C13"/>
    <mergeCell ref="B39:B41"/>
    <mergeCell ref="C39:C41"/>
    <mergeCell ref="D39:D41"/>
    <mergeCell ref="B42:B43"/>
    <mergeCell ref="C42:C43"/>
    <mergeCell ref="B71:B75"/>
    <mergeCell ref="C71:C75"/>
    <mergeCell ref="D71:D75"/>
    <mergeCell ref="B64:B66"/>
    <mergeCell ref="C64:C66"/>
    <mergeCell ref="D64:D66"/>
    <mergeCell ref="B67:B68"/>
    <mergeCell ref="C67:C68"/>
    <mergeCell ref="D67:D68"/>
    <mergeCell ref="B69:B70"/>
    <mergeCell ref="C69:C70"/>
    <mergeCell ref="D69:D70"/>
    <mergeCell ref="B61:B63"/>
    <mergeCell ref="C61:C63"/>
    <mergeCell ref="D61:D63"/>
    <mergeCell ref="B22:B26"/>
    <mergeCell ref="C22:C26"/>
    <mergeCell ref="D22:D26"/>
    <mergeCell ref="D52:D54"/>
    <mergeCell ref="B55:B58"/>
    <mergeCell ref="C55:C58"/>
    <mergeCell ref="D55:D58"/>
    <mergeCell ref="B59:B60"/>
    <mergeCell ref="C59:C60"/>
    <mergeCell ref="D59:D60"/>
    <mergeCell ref="D42:D43"/>
    <mergeCell ref="B37:B38"/>
    <mergeCell ref="C37:C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9"/>
  <sheetViews>
    <sheetView topLeftCell="I1" zoomScale="110" zoomScaleNormal="110" workbookViewId="0">
      <selection activeCell="M6" sqref="M6"/>
    </sheetView>
  </sheetViews>
  <sheetFormatPr defaultRowHeight="15" x14ac:dyDescent="0.25"/>
  <cols>
    <col min="1" max="1" width="53.5703125" customWidth="1"/>
    <col min="2" max="2" width="11.42578125" customWidth="1"/>
    <col min="3" max="3" width="10" customWidth="1"/>
    <col min="4" max="4" width="15" customWidth="1"/>
    <col min="5" max="5" width="14.5703125" customWidth="1"/>
    <col min="6" max="6" width="16.42578125" customWidth="1"/>
    <col min="7" max="7" width="10.42578125" customWidth="1"/>
    <col min="8" max="8" width="8.5703125" customWidth="1"/>
    <col min="9" max="9" width="13.28515625" customWidth="1"/>
    <col min="10" max="11" width="14.140625" customWidth="1"/>
    <col min="12" max="12" width="17.140625" customWidth="1"/>
    <col min="13" max="13" width="17.140625" style="81" customWidth="1"/>
    <col min="14" max="16" width="17.140625" hidden="1" customWidth="1"/>
    <col min="17" max="17" width="17.7109375" customWidth="1"/>
    <col min="18" max="19" width="17.7109375" hidden="1" customWidth="1"/>
    <col min="20" max="21" width="17.7109375" customWidth="1"/>
    <col min="22" max="22" width="17.7109375" style="72" customWidth="1"/>
    <col min="23" max="23" width="17.28515625" customWidth="1"/>
    <col min="25" max="25" width="9.140625" customWidth="1"/>
    <col min="26" max="26" width="14" customWidth="1"/>
    <col min="27" max="27" width="13.5703125" customWidth="1"/>
    <col min="28" max="30" width="9.140625" customWidth="1"/>
    <col min="244" max="244" width="68.28515625" customWidth="1"/>
    <col min="245" max="245" width="17.85546875" bestFit="1" customWidth="1"/>
    <col min="246" max="246" width="11.7109375" customWidth="1"/>
    <col min="247" max="247" width="10.7109375" customWidth="1"/>
    <col min="248" max="248" width="12" customWidth="1"/>
    <col min="249" max="249" width="14.85546875" customWidth="1"/>
    <col min="250" max="250" width="11.85546875" customWidth="1"/>
    <col min="251" max="251" width="10.42578125" customWidth="1"/>
    <col min="253" max="253" width="12.85546875" customWidth="1"/>
    <col min="254" max="254" width="16.140625" customWidth="1"/>
    <col min="256" max="256" width="15.140625" bestFit="1" customWidth="1"/>
    <col min="500" max="500" width="68.28515625" customWidth="1"/>
    <col min="501" max="501" width="17.85546875" bestFit="1" customWidth="1"/>
    <col min="502" max="502" width="11.7109375" customWidth="1"/>
    <col min="503" max="503" width="10.7109375" customWidth="1"/>
    <col min="504" max="504" width="12" customWidth="1"/>
    <col min="505" max="505" width="14.85546875" customWidth="1"/>
    <col min="506" max="506" width="11.85546875" customWidth="1"/>
    <col min="507" max="507" width="10.42578125" customWidth="1"/>
    <col min="509" max="509" width="12.85546875" customWidth="1"/>
    <col min="510" max="510" width="16.140625" customWidth="1"/>
    <col min="512" max="512" width="15.140625" bestFit="1" customWidth="1"/>
    <col min="756" max="756" width="68.28515625" customWidth="1"/>
    <col min="757" max="757" width="17.85546875" bestFit="1" customWidth="1"/>
    <col min="758" max="758" width="11.7109375" customWidth="1"/>
    <col min="759" max="759" width="10.7109375" customWidth="1"/>
    <col min="760" max="760" width="12" customWidth="1"/>
    <col min="761" max="761" width="14.85546875" customWidth="1"/>
    <col min="762" max="762" width="11.85546875" customWidth="1"/>
    <col min="763" max="763" width="10.42578125" customWidth="1"/>
    <col min="765" max="765" width="12.85546875" customWidth="1"/>
    <col min="766" max="766" width="16.140625" customWidth="1"/>
    <col min="768" max="768" width="15.140625" bestFit="1" customWidth="1"/>
    <col min="1012" max="1012" width="68.28515625" customWidth="1"/>
    <col min="1013" max="1013" width="17.85546875" bestFit="1" customWidth="1"/>
    <col min="1014" max="1014" width="11.7109375" customWidth="1"/>
    <col min="1015" max="1015" width="10.7109375" customWidth="1"/>
    <col min="1016" max="1016" width="12" customWidth="1"/>
    <col min="1017" max="1017" width="14.85546875" customWidth="1"/>
    <col min="1018" max="1018" width="11.85546875" customWidth="1"/>
    <col min="1019" max="1019" width="10.42578125" customWidth="1"/>
    <col min="1021" max="1021" width="12.85546875" customWidth="1"/>
    <col min="1022" max="1022" width="16.140625" customWidth="1"/>
    <col min="1024" max="1024" width="15.140625" bestFit="1" customWidth="1"/>
    <col min="1268" max="1268" width="68.28515625" customWidth="1"/>
    <col min="1269" max="1269" width="17.85546875" bestFit="1" customWidth="1"/>
    <col min="1270" max="1270" width="11.7109375" customWidth="1"/>
    <col min="1271" max="1271" width="10.7109375" customWidth="1"/>
    <col min="1272" max="1272" width="12" customWidth="1"/>
    <col min="1273" max="1273" width="14.85546875" customWidth="1"/>
    <col min="1274" max="1274" width="11.85546875" customWidth="1"/>
    <col min="1275" max="1275" width="10.42578125" customWidth="1"/>
    <col min="1277" max="1277" width="12.85546875" customWidth="1"/>
    <col min="1278" max="1278" width="16.140625" customWidth="1"/>
    <col min="1280" max="1280" width="15.140625" bestFit="1" customWidth="1"/>
    <col min="1524" max="1524" width="68.28515625" customWidth="1"/>
    <col min="1525" max="1525" width="17.85546875" bestFit="1" customWidth="1"/>
    <col min="1526" max="1526" width="11.7109375" customWidth="1"/>
    <col min="1527" max="1527" width="10.7109375" customWidth="1"/>
    <col min="1528" max="1528" width="12" customWidth="1"/>
    <col min="1529" max="1529" width="14.85546875" customWidth="1"/>
    <col min="1530" max="1530" width="11.85546875" customWidth="1"/>
    <col min="1531" max="1531" width="10.42578125" customWidth="1"/>
    <col min="1533" max="1533" width="12.85546875" customWidth="1"/>
    <col min="1534" max="1534" width="16.140625" customWidth="1"/>
    <col min="1536" max="1536" width="15.140625" bestFit="1" customWidth="1"/>
    <col min="1780" max="1780" width="68.28515625" customWidth="1"/>
    <col min="1781" max="1781" width="17.85546875" bestFit="1" customWidth="1"/>
    <col min="1782" max="1782" width="11.7109375" customWidth="1"/>
    <col min="1783" max="1783" width="10.7109375" customWidth="1"/>
    <col min="1784" max="1784" width="12" customWidth="1"/>
    <col min="1785" max="1785" width="14.85546875" customWidth="1"/>
    <col min="1786" max="1786" width="11.85546875" customWidth="1"/>
    <col min="1787" max="1787" width="10.42578125" customWidth="1"/>
    <col min="1789" max="1789" width="12.85546875" customWidth="1"/>
    <col min="1790" max="1790" width="16.140625" customWidth="1"/>
    <col min="1792" max="1792" width="15.140625" bestFit="1" customWidth="1"/>
    <col min="2036" max="2036" width="68.28515625" customWidth="1"/>
    <col min="2037" max="2037" width="17.85546875" bestFit="1" customWidth="1"/>
    <col min="2038" max="2038" width="11.7109375" customWidth="1"/>
    <col min="2039" max="2039" width="10.7109375" customWidth="1"/>
    <col min="2040" max="2040" width="12" customWidth="1"/>
    <col min="2041" max="2041" width="14.85546875" customWidth="1"/>
    <col min="2042" max="2042" width="11.85546875" customWidth="1"/>
    <col min="2043" max="2043" width="10.42578125" customWidth="1"/>
    <col min="2045" max="2045" width="12.85546875" customWidth="1"/>
    <col min="2046" max="2046" width="16.140625" customWidth="1"/>
    <col min="2048" max="2048" width="15.140625" bestFit="1" customWidth="1"/>
    <col min="2292" max="2292" width="68.28515625" customWidth="1"/>
    <col min="2293" max="2293" width="17.85546875" bestFit="1" customWidth="1"/>
    <col min="2294" max="2294" width="11.7109375" customWidth="1"/>
    <col min="2295" max="2295" width="10.7109375" customWidth="1"/>
    <col min="2296" max="2296" width="12" customWidth="1"/>
    <col min="2297" max="2297" width="14.85546875" customWidth="1"/>
    <col min="2298" max="2298" width="11.85546875" customWidth="1"/>
    <col min="2299" max="2299" width="10.42578125" customWidth="1"/>
    <col min="2301" max="2301" width="12.85546875" customWidth="1"/>
    <col min="2302" max="2302" width="16.140625" customWidth="1"/>
    <col min="2304" max="2304" width="15.140625" bestFit="1" customWidth="1"/>
    <col min="2548" max="2548" width="68.28515625" customWidth="1"/>
    <col min="2549" max="2549" width="17.85546875" bestFit="1" customWidth="1"/>
    <col min="2550" max="2550" width="11.7109375" customWidth="1"/>
    <col min="2551" max="2551" width="10.7109375" customWidth="1"/>
    <col min="2552" max="2552" width="12" customWidth="1"/>
    <col min="2553" max="2553" width="14.85546875" customWidth="1"/>
    <col min="2554" max="2554" width="11.85546875" customWidth="1"/>
    <col min="2555" max="2555" width="10.42578125" customWidth="1"/>
    <col min="2557" max="2557" width="12.85546875" customWidth="1"/>
    <col min="2558" max="2558" width="16.140625" customWidth="1"/>
    <col min="2560" max="2560" width="15.140625" bestFit="1" customWidth="1"/>
    <col min="2804" max="2804" width="68.28515625" customWidth="1"/>
    <col min="2805" max="2805" width="17.85546875" bestFit="1" customWidth="1"/>
    <col min="2806" max="2806" width="11.7109375" customWidth="1"/>
    <col min="2807" max="2807" width="10.7109375" customWidth="1"/>
    <col min="2808" max="2808" width="12" customWidth="1"/>
    <col min="2809" max="2809" width="14.85546875" customWidth="1"/>
    <col min="2810" max="2810" width="11.85546875" customWidth="1"/>
    <col min="2811" max="2811" width="10.42578125" customWidth="1"/>
    <col min="2813" max="2813" width="12.85546875" customWidth="1"/>
    <col min="2814" max="2814" width="16.140625" customWidth="1"/>
    <col min="2816" max="2816" width="15.140625" bestFit="1" customWidth="1"/>
    <col min="3060" max="3060" width="68.28515625" customWidth="1"/>
    <col min="3061" max="3061" width="17.85546875" bestFit="1" customWidth="1"/>
    <col min="3062" max="3062" width="11.7109375" customWidth="1"/>
    <col min="3063" max="3063" width="10.7109375" customWidth="1"/>
    <col min="3064" max="3064" width="12" customWidth="1"/>
    <col min="3065" max="3065" width="14.85546875" customWidth="1"/>
    <col min="3066" max="3066" width="11.85546875" customWidth="1"/>
    <col min="3067" max="3067" width="10.42578125" customWidth="1"/>
    <col min="3069" max="3069" width="12.85546875" customWidth="1"/>
    <col min="3070" max="3070" width="16.140625" customWidth="1"/>
    <col min="3072" max="3072" width="15.140625" bestFit="1" customWidth="1"/>
    <col min="3316" max="3316" width="68.28515625" customWidth="1"/>
    <col min="3317" max="3317" width="17.85546875" bestFit="1" customWidth="1"/>
    <col min="3318" max="3318" width="11.7109375" customWidth="1"/>
    <col min="3319" max="3319" width="10.7109375" customWidth="1"/>
    <col min="3320" max="3320" width="12" customWidth="1"/>
    <col min="3321" max="3321" width="14.85546875" customWidth="1"/>
    <col min="3322" max="3322" width="11.85546875" customWidth="1"/>
    <col min="3323" max="3323" width="10.42578125" customWidth="1"/>
    <col min="3325" max="3325" width="12.85546875" customWidth="1"/>
    <col min="3326" max="3326" width="16.140625" customWidth="1"/>
    <col min="3328" max="3328" width="15.140625" bestFit="1" customWidth="1"/>
    <col min="3572" max="3572" width="68.28515625" customWidth="1"/>
    <col min="3573" max="3573" width="17.85546875" bestFit="1" customWidth="1"/>
    <col min="3574" max="3574" width="11.7109375" customWidth="1"/>
    <col min="3575" max="3575" width="10.7109375" customWidth="1"/>
    <col min="3576" max="3576" width="12" customWidth="1"/>
    <col min="3577" max="3577" width="14.85546875" customWidth="1"/>
    <col min="3578" max="3578" width="11.85546875" customWidth="1"/>
    <col min="3579" max="3579" width="10.42578125" customWidth="1"/>
    <col min="3581" max="3581" width="12.85546875" customWidth="1"/>
    <col min="3582" max="3582" width="16.140625" customWidth="1"/>
    <col min="3584" max="3584" width="15.140625" bestFit="1" customWidth="1"/>
    <col min="3828" max="3828" width="68.28515625" customWidth="1"/>
    <col min="3829" max="3829" width="17.85546875" bestFit="1" customWidth="1"/>
    <col min="3830" max="3830" width="11.7109375" customWidth="1"/>
    <col min="3831" max="3831" width="10.7109375" customWidth="1"/>
    <col min="3832" max="3832" width="12" customWidth="1"/>
    <col min="3833" max="3833" width="14.85546875" customWidth="1"/>
    <col min="3834" max="3834" width="11.85546875" customWidth="1"/>
    <col min="3835" max="3835" width="10.42578125" customWidth="1"/>
    <col min="3837" max="3837" width="12.85546875" customWidth="1"/>
    <col min="3838" max="3838" width="16.140625" customWidth="1"/>
    <col min="3840" max="3840" width="15.140625" bestFit="1" customWidth="1"/>
    <col min="4084" max="4084" width="68.28515625" customWidth="1"/>
    <col min="4085" max="4085" width="17.85546875" bestFit="1" customWidth="1"/>
    <col min="4086" max="4086" width="11.7109375" customWidth="1"/>
    <col min="4087" max="4087" width="10.7109375" customWidth="1"/>
    <col min="4088" max="4088" width="12" customWidth="1"/>
    <col min="4089" max="4089" width="14.85546875" customWidth="1"/>
    <col min="4090" max="4090" width="11.85546875" customWidth="1"/>
    <col min="4091" max="4091" width="10.42578125" customWidth="1"/>
    <col min="4093" max="4093" width="12.85546875" customWidth="1"/>
    <col min="4094" max="4094" width="16.140625" customWidth="1"/>
    <col min="4096" max="4096" width="15.140625" bestFit="1" customWidth="1"/>
    <col min="4340" max="4340" width="68.28515625" customWidth="1"/>
    <col min="4341" max="4341" width="17.85546875" bestFit="1" customWidth="1"/>
    <col min="4342" max="4342" width="11.7109375" customWidth="1"/>
    <col min="4343" max="4343" width="10.7109375" customWidth="1"/>
    <col min="4344" max="4344" width="12" customWidth="1"/>
    <col min="4345" max="4345" width="14.85546875" customWidth="1"/>
    <col min="4346" max="4346" width="11.85546875" customWidth="1"/>
    <col min="4347" max="4347" width="10.42578125" customWidth="1"/>
    <col min="4349" max="4349" width="12.85546875" customWidth="1"/>
    <col min="4350" max="4350" width="16.140625" customWidth="1"/>
    <col min="4352" max="4352" width="15.140625" bestFit="1" customWidth="1"/>
    <col min="4596" max="4596" width="68.28515625" customWidth="1"/>
    <col min="4597" max="4597" width="17.85546875" bestFit="1" customWidth="1"/>
    <col min="4598" max="4598" width="11.7109375" customWidth="1"/>
    <col min="4599" max="4599" width="10.7109375" customWidth="1"/>
    <col min="4600" max="4600" width="12" customWidth="1"/>
    <col min="4601" max="4601" width="14.85546875" customWidth="1"/>
    <col min="4602" max="4602" width="11.85546875" customWidth="1"/>
    <col min="4603" max="4603" width="10.42578125" customWidth="1"/>
    <col min="4605" max="4605" width="12.85546875" customWidth="1"/>
    <col min="4606" max="4606" width="16.140625" customWidth="1"/>
    <col min="4608" max="4608" width="15.140625" bestFit="1" customWidth="1"/>
    <col min="4852" max="4852" width="68.28515625" customWidth="1"/>
    <col min="4853" max="4853" width="17.85546875" bestFit="1" customWidth="1"/>
    <col min="4854" max="4854" width="11.7109375" customWidth="1"/>
    <col min="4855" max="4855" width="10.7109375" customWidth="1"/>
    <col min="4856" max="4856" width="12" customWidth="1"/>
    <col min="4857" max="4857" width="14.85546875" customWidth="1"/>
    <col min="4858" max="4858" width="11.85546875" customWidth="1"/>
    <col min="4859" max="4859" width="10.42578125" customWidth="1"/>
    <col min="4861" max="4861" width="12.85546875" customWidth="1"/>
    <col min="4862" max="4862" width="16.140625" customWidth="1"/>
    <col min="4864" max="4864" width="15.140625" bestFit="1" customWidth="1"/>
    <col min="5108" max="5108" width="68.28515625" customWidth="1"/>
    <col min="5109" max="5109" width="17.85546875" bestFit="1" customWidth="1"/>
    <col min="5110" max="5110" width="11.7109375" customWidth="1"/>
    <col min="5111" max="5111" width="10.7109375" customWidth="1"/>
    <col min="5112" max="5112" width="12" customWidth="1"/>
    <col min="5113" max="5113" width="14.85546875" customWidth="1"/>
    <col min="5114" max="5114" width="11.85546875" customWidth="1"/>
    <col min="5115" max="5115" width="10.42578125" customWidth="1"/>
    <col min="5117" max="5117" width="12.85546875" customWidth="1"/>
    <col min="5118" max="5118" width="16.140625" customWidth="1"/>
    <col min="5120" max="5120" width="15.140625" bestFit="1" customWidth="1"/>
    <col min="5364" max="5364" width="68.28515625" customWidth="1"/>
    <col min="5365" max="5365" width="17.85546875" bestFit="1" customWidth="1"/>
    <col min="5366" max="5366" width="11.7109375" customWidth="1"/>
    <col min="5367" max="5367" width="10.7109375" customWidth="1"/>
    <col min="5368" max="5368" width="12" customWidth="1"/>
    <col min="5369" max="5369" width="14.85546875" customWidth="1"/>
    <col min="5370" max="5370" width="11.85546875" customWidth="1"/>
    <col min="5371" max="5371" width="10.42578125" customWidth="1"/>
    <col min="5373" max="5373" width="12.85546875" customWidth="1"/>
    <col min="5374" max="5374" width="16.140625" customWidth="1"/>
    <col min="5376" max="5376" width="15.140625" bestFit="1" customWidth="1"/>
    <col min="5620" max="5620" width="68.28515625" customWidth="1"/>
    <col min="5621" max="5621" width="17.85546875" bestFit="1" customWidth="1"/>
    <col min="5622" max="5622" width="11.7109375" customWidth="1"/>
    <col min="5623" max="5623" width="10.7109375" customWidth="1"/>
    <col min="5624" max="5624" width="12" customWidth="1"/>
    <col min="5625" max="5625" width="14.85546875" customWidth="1"/>
    <col min="5626" max="5626" width="11.85546875" customWidth="1"/>
    <col min="5627" max="5627" width="10.42578125" customWidth="1"/>
    <col min="5629" max="5629" width="12.85546875" customWidth="1"/>
    <col min="5630" max="5630" width="16.140625" customWidth="1"/>
    <col min="5632" max="5632" width="15.140625" bestFit="1" customWidth="1"/>
    <col min="5876" max="5876" width="68.28515625" customWidth="1"/>
    <col min="5877" max="5877" width="17.85546875" bestFit="1" customWidth="1"/>
    <col min="5878" max="5878" width="11.7109375" customWidth="1"/>
    <col min="5879" max="5879" width="10.7109375" customWidth="1"/>
    <col min="5880" max="5880" width="12" customWidth="1"/>
    <col min="5881" max="5881" width="14.85546875" customWidth="1"/>
    <col min="5882" max="5882" width="11.85546875" customWidth="1"/>
    <col min="5883" max="5883" width="10.42578125" customWidth="1"/>
    <col min="5885" max="5885" width="12.85546875" customWidth="1"/>
    <col min="5886" max="5886" width="16.140625" customWidth="1"/>
    <col min="5888" max="5888" width="15.140625" bestFit="1" customWidth="1"/>
    <col min="6132" max="6132" width="68.28515625" customWidth="1"/>
    <col min="6133" max="6133" width="17.85546875" bestFit="1" customWidth="1"/>
    <col min="6134" max="6134" width="11.7109375" customWidth="1"/>
    <col min="6135" max="6135" width="10.7109375" customWidth="1"/>
    <col min="6136" max="6136" width="12" customWidth="1"/>
    <col min="6137" max="6137" width="14.85546875" customWidth="1"/>
    <col min="6138" max="6138" width="11.85546875" customWidth="1"/>
    <col min="6139" max="6139" width="10.42578125" customWidth="1"/>
    <col min="6141" max="6141" width="12.85546875" customWidth="1"/>
    <col min="6142" max="6142" width="16.140625" customWidth="1"/>
    <col min="6144" max="6144" width="15.140625" bestFit="1" customWidth="1"/>
    <col min="6388" max="6388" width="68.28515625" customWidth="1"/>
    <col min="6389" max="6389" width="17.85546875" bestFit="1" customWidth="1"/>
    <col min="6390" max="6390" width="11.7109375" customWidth="1"/>
    <col min="6391" max="6391" width="10.7109375" customWidth="1"/>
    <col min="6392" max="6392" width="12" customWidth="1"/>
    <col min="6393" max="6393" width="14.85546875" customWidth="1"/>
    <col min="6394" max="6394" width="11.85546875" customWidth="1"/>
    <col min="6395" max="6395" width="10.42578125" customWidth="1"/>
    <col min="6397" max="6397" width="12.85546875" customWidth="1"/>
    <col min="6398" max="6398" width="16.140625" customWidth="1"/>
    <col min="6400" max="6400" width="15.140625" bestFit="1" customWidth="1"/>
    <col min="6644" max="6644" width="68.28515625" customWidth="1"/>
    <col min="6645" max="6645" width="17.85546875" bestFit="1" customWidth="1"/>
    <col min="6646" max="6646" width="11.7109375" customWidth="1"/>
    <col min="6647" max="6647" width="10.7109375" customWidth="1"/>
    <col min="6648" max="6648" width="12" customWidth="1"/>
    <col min="6649" max="6649" width="14.85546875" customWidth="1"/>
    <col min="6650" max="6650" width="11.85546875" customWidth="1"/>
    <col min="6651" max="6651" width="10.42578125" customWidth="1"/>
    <col min="6653" max="6653" width="12.85546875" customWidth="1"/>
    <col min="6654" max="6654" width="16.140625" customWidth="1"/>
    <col min="6656" max="6656" width="15.140625" bestFit="1" customWidth="1"/>
    <col min="6900" max="6900" width="68.28515625" customWidth="1"/>
    <col min="6901" max="6901" width="17.85546875" bestFit="1" customWidth="1"/>
    <col min="6902" max="6902" width="11.7109375" customWidth="1"/>
    <col min="6903" max="6903" width="10.7109375" customWidth="1"/>
    <col min="6904" max="6904" width="12" customWidth="1"/>
    <col min="6905" max="6905" width="14.85546875" customWidth="1"/>
    <col min="6906" max="6906" width="11.85546875" customWidth="1"/>
    <col min="6907" max="6907" width="10.42578125" customWidth="1"/>
    <col min="6909" max="6909" width="12.85546875" customWidth="1"/>
    <col min="6910" max="6910" width="16.140625" customWidth="1"/>
    <col min="6912" max="6912" width="15.140625" bestFit="1" customWidth="1"/>
    <col min="7156" max="7156" width="68.28515625" customWidth="1"/>
    <col min="7157" max="7157" width="17.85546875" bestFit="1" customWidth="1"/>
    <col min="7158" max="7158" width="11.7109375" customWidth="1"/>
    <col min="7159" max="7159" width="10.7109375" customWidth="1"/>
    <col min="7160" max="7160" width="12" customWidth="1"/>
    <col min="7161" max="7161" width="14.85546875" customWidth="1"/>
    <col min="7162" max="7162" width="11.85546875" customWidth="1"/>
    <col min="7163" max="7163" width="10.42578125" customWidth="1"/>
    <col min="7165" max="7165" width="12.85546875" customWidth="1"/>
    <col min="7166" max="7166" width="16.140625" customWidth="1"/>
    <col min="7168" max="7168" width="15.140625" bestFit="1" customWidth="1"/>
    <col min="7412" max="7412" width="68.28515625" customWidth="1"/>
    <col min="7413" max="7413" width="17.85546875" bestFit="1" customWidth="1"/>
    <col min="7414" max="7414" width="11.7109375" customWidth="1"/>
    <col min="7415" max="7415" width="10.7109375" customWidth="1"/>
    <col min="7416" max="7416" width="12" customWidth="1"/>
    <col min="7417" max="7417" width="14.85546875" customWidth="1"/>
    <col min="7418" max="7418" width="11.85546875" customWidth="1"/>
    <col min="7419" max="7419" width="10.42578125" customWidth="1"/>
    <col min="7421" max="7421" width="12.85546875" customWidth="1"/>
    <col min="7422" max="7422" width="16.140625" customWidth="1"/>
    <col min="7424" max="7424" width="15.140625" bestFit="1" customWidth="1"/>
    <col min="7668" max="7668" width="68.28515625" customWidth="1"/>
    <col min="7669" max="7669" width="17.85546875" bestFit="1" customWidth="1"/>
    <col min="7670" max="7670" width="11.7109375" customWidth="1"/>
    <col min="7671" max="7671" width="10.7109375" customWidth="1"/>
    <col min="7672" max="7672" width="12" customWidth="1"/>
    <col min="7673" max="7673" width="14.85546875" customWidth="1"/>
    <col min="7674" max="7674" width="11.85546875" customWidth="1"/>
    <col min="7675" max="7675" width="10.42578125" customWidth="1"/>
    <col min="7677" max="7677" width="12.85546875" customWidth="1"/>
    <col min="7678" max="7678" width="16.140625" customWidth="1"/>
    <col min="7680" max="7680" width="15.140625" bestFit="1" customWidth="1"/>
    <col min="7924" max="7924" width="68.28515625" customWidth="1"/>
    <col min="7925" max="7925" width="17.85546875" bestFit="1" customWidth="1"/>
    <col min="7926" max="7926" width="11.7109375" customWidth="1"/>
    <col min="7927" max="7927" width="10.7109375" customWidth="1"/>
    <col min="7928" max="7928" width="12" customWidth="1"/>
    <col min="7929" max="7929" width="14.85546875" customWidth="1"/>
    <col min="7930" max="7930" width="11.85546875" customWidth="1"/>
    <col min="7931" max="7931" width="10.42578125" customWidth="1"/>
    <col min="7933" max="7933" width="12.85546875" customWidth="1"/>
    <col min="7934" max="7934" width="16.140625" customWidth="1"/>
    <col min="7936" max="7936" width="15.140625" bestFit="1" customWidth="1"/>
    <col min="8180" max="8180" width="68.28515625" customWidth="1"/>
    <col min="8181" max="8181" width="17.85546875" bestFit="1" customWidth="1"/>
    <col min="8182" max="8182" width="11.7109375" customWidth="1"/>
    <col min="8183" max="8183" width="10.7109375" customWidth="1"/>
    <col min="8184" max="8184" width="12" customWidth="1"/>
    <col min="8185" max="8185" width="14.85546875" customWidth="1"/>
    <col min="8186" max="8186" width="11.85546875" customWidth="1"/>
    <col min="8187" max="8187" width="10.42578125" customWidth="1"/>
    <col min="8189" max="8189" width="12.85546875" customWidth="1"/>
    <col min="8190" max="8190" width="16.140625" customWidth="1"/>
    <col min="8192" max="8192" width="15.140625" bestFit="1" customWidth="1"/>
    <col min="8436" max="8436" width="68.28515625" customWidth="1"/>
    <col min="8437" max="8437" width="17.85546875" bestFit="1" customWidth="1"/>
    <col min="8438" max="8438" width="11.7109375" customWidth="1"/>
    <col min="8439" max="8439" width="10.7109375" customWidth="1"/>
    <col min="8440" max="8440" width="12" customWidth="1"/>
    <col min="8441" max="8441" width="14.85546875" customWidth="1"/>
    <col min="8442" max="8442" width="11.85546875" customWidth="1"/>
    <col min="8443" max="8443" width="10.42578125" customWidth="1"/>
    <col min="8445" max="8445" width="12.85546875" customWidth="1"/>
    <col min="8446" max="8446" width="16.140625" customWidth="1"/>
    <col min="8448" max="8448" width="15.140625" bestFit="1" customWidth="1"/>
    <col min="8692" max="8692" width="68.28515625" customWidth="1"/>
    <col min="8693" max="8693" width="17.85546875" bestFit="1" customWidth="1"/>
    <col min="8694" max="8694" width="11.7109375" customWidth="1"/>
    <col min="8695" max="8695" width="10.7109375" customWidth="1"/>
    <col min="8696" max="8696" width="12" customWidth="1"/>
    <col min="8697" max="8697" width="14.85546875" customWidth="1"/>
    <col min="8698" max="8698" width="11.85546875" customWidth="1"/>
    <col min="8699" max="8699" width="10.42578125" customWidth="1"/>
    <col min="8701" max="8701" width="12.85546875" customWidth="1"/>
    <col min="8702" max="8702" width="16.140625" customWidth="1"/>
    <col min="8704" max="8704" width="15.140625" bestFit="1" customWidth="1"/>
    <col min="8948" max="8948" width="68.28515625" customWidth="1"/>
    <col min="8949" max="8949" width="17.85546875" bestFit="1" customWidth="1"/>
    <col min="8950" max="8950" width="11.7109375" customWidth="1"/>
    <col min="8951" max="8951" width="10.7109375" customWidth="1"/>
    <col min="8952" max="8952" width="12" customWidth="1"/>
    <col min="8953" max="8953" width="14.85546875" customWidth="1"/>
    <col min="8954" max="8954" width="11.85546875" customWidth="1"/>
    <col min="8955" max="8955" width="10.42578125" customWidth="1"/>
    <col min="8957" max="8957" width="12.85546875" customWidth="1"/>
    <col min="8958" max="8958" width="16.140625" customWidth="1"/>
    <col min="8960" max="8960" width="15.140625" bestFit="1" customWidth="1"/>
    <col min="9204" max="9204" width="68.28515625" customWidth="1"/>
    <col min="9205" max="9205" width="17.85546875" bestFit="1" customWidth="1"/>
    <col min="9206" max="9206" width="11.7109375" customWidth="1"/>
    <col min="9207" max="9207" width="10.7109375" customWidth="1"/>
    <col min="9208" max="9208" width="12" customWidth="1"/>
    <col min="9209" max="9209" width="14.85546875" customWidth="1"/>
    <col min="9210" max="9210" width="11.85546875" customWidth="1"/>
    <col min="9211" max="9211" width="10.42578125" customWidth="1"/>
    <col min="9213" max="9213" width="12.85546875" customWidth="1"/>
    <col min="9214" max="9214" width="16.140625" customWidth="1"/>
    <col min="9216" max="9216" width="15.140625" bestFit="1" customWidth="1"/>
    <col min="9460" max="9460" width="68.28515625" customWidth="1"/>
    <col min="9461" max="9461" width="17.85546875" bestFit="1" customWidth="1"/>
    <col min="9462" max="9462" width="11.7109375" customWidth="1"/>
    <col min="9463" max="9463" width="10.7109375" customWidth="1"/>
    <col min="9464" max="9464" width="12" customWidth="1"/>
    <col min="9465" max="9465" width="14.85546875" customWidth="1"/>
    <col min="9466" max="9466" width="11.85546875" customWidth="1"/>
    <col min="9467" max="9467" width="10.42578125" customWidth="1"/>
    <col min="9469" max="9469" width="12.85546875" customWidth="1"/>
    <col min="9470" max="9470" width="16.140625" customWidth="1"/>
    <col min="9472" max="9472" width="15.140625" bestFit="1" customWidth="1"/>
    <col min="9716" max="9716" width="68.28515625" customWidth="1"/>
    <col min="9717" max="9717" width="17.85546875" bestFit="1" customWidth="1"/>
    <col min="9718" max="9718" width="11.7109375" customWidth="1"/>
    <col min="9719" max="9719" width="10.7109375" customWidth="1"/>
    <col min="9720" max="9720" width="12" customWidth="1"/>
    <col min="9721" max="9721" width="14.85546875" customWidth="1"/>
    <col min="9722" max="9722" width="11.85546875" customWidth="1"/>
    <col min="9723" max="9723" width="10.42578125" customWidth="1"/>
    <col min="9725" max="9725" width="12.85546875" customWidth="1"/>
    <col min="9726" max="9726" width="16.140625" customWidth="1"/>
    <col min="9728" max="9728" width="15.140625" bestFit="1" customWidth="1"/>
    <col min="9972" max="9972" width="68.28515625" customWidth="1"/>
    <col min="9973" max="9973" width="17.85546875" bestFit="1" customWidth="1"/>
    <col min="9974" max="9974" width="11.7109375" customWidth="1"/>
    <col min="9975" max="9975" width="10.7109375" customWidth="1"/>
    <col min="9976" max="9976" width="12" customWidth="1"/>
    <col min="9977" max="9977" width="14.85546875" customWidth="1"/>
    <col min="9978" max="9978" width="11.85546875" customWidth="1"/>
    <col min="9979" max="9979" width="10.42578125" customWidth="1"/>
    <col min="9981" max="9981" width="12.85546875" customWidth="1"/>
    <col min="9982" max="9982" width="16.140625" customWidth="1"/>
    <col min="9984" max="9984" width="15.140625" bestFit="1" customWidth="1"/>
    <col min="10228" max="10228" width="68.28515625" customWidth="1"/>
    <col min="10229" max="10229" width="17.85546875" bestFit="1" customWidth="1"/>
    <col min="10230" max="10230" width="11.7109375" customWidth="1"/>
    <col min="10231" max="10231" width="10.7109375" customWidth="1"/>
    <col min="10232" max="10232" width="12" customWidth="1"/>
    <col min="10233" max="10233" width="14.85546875" customWidth="1"/>
    <col min="10234" max="10234" width="11.85546875" customWidth="1"/>
    <col min="10235" max="10235" width="10.42578125" customWidth="1"/>
    <col min="10237" max="10237" width="12.85546875" customWidth="1"/>
    <col min="10238" max="10238" width="16.140625" customWidth="1"/>
    <col min="10240" max="10240" width="15.140625" bestFit="1" customWidth="1"/>
    <col min="10484" max="10484" width="68.28515625" customWidth="1"/>
    <col min="10485" max="10485" width="17.85546875" bestFit="1" customWidth="1"/>
    <col min="10486" max="10486" width="11.7109375" customWidth="1"/>
    <col min="10487" max="10487" width="10.7109375" customWidth="1"/>
    <col min="10488" max="10488" width="12" customWidth="1"/>
    <col min="10489" max="10489" width="14.85546875" customWidth="1"/>
    <col min="10490" max="10490" width="11.85546875" customWidth="1"/>
    <col min="10491" max="10491" width="10.42578125" customWidth="1"/>
    <col min="10493" max="10493" width="12.85546875" customWidth="1"/>
    <col min="10494" max="10494" width="16.140625" customWidth="1"/>
    <col min="10496" max="10496" width="15.140625" bestFit="1" customWidth="1"/>
    <col min="10740" max="10740" width="68.28515625" customWidth="1"/>
    <col min="10741" max="10741" width="17.85546875" bestFit="1" customWidth="1"/>
    <col min="10742" max="10742" width="11.7109375" customWidth="1"/>
    <col min="10743" max="10743" width="10.7109375" customWidth="1"/>
    <col min="10744" max="10744" width="12" customWidth="1"/>
    <col min="10745" max="10745" width="14.85546875" customWidth="1"/>
    <col min="10746" max="10746" width="11.85546875" customWidth="1"/>
    <col min="10747" max="10747" width="10.42578125" customWidth="1"/>
    <col min="10749" max="10749" width="12.85546875" customWidth="1"/>
    <col min="10750" max="10750" width="16.140625" customWidth="1"/>
    <col min="10752" max="10752" width="15.140625" bestFit="1" customWidth="1"/>
    <col min="10996" max="10996" width="68.28515625" customWidth="1"/>
    <col min="10997" max="10997" width="17.85546875" bestFit="1" customWidth="1"/>
    <col min="10998" max="10998" width="11.7109375" customWidth="1"/>
    <col min="10999" max="10999" width="10.7109375" customWidth="1"/>
    <col min="11000" max="11000" width="12" customWidth="1"/>
    <col min="11001" max="11001" width="14.85546875" customWidth="1"/>
    <col min="11002" max="11002" width="11.85546875" customWidth="1"/>
    <col min="11003" max="11003" width="10.42578125" customWidth="1"/>
    <col min="11005" max="11005" width="12.85546875" customWidth="1"/>
    <col min="11006" max="11006" width="16.140625" customWidth="1"/>
    <col min="11008" max="11008" width="15.140625" bestFit="1" customWidth="1"/>
    <col min="11252" max="11252" width="68.28515625" customWidth="1"/>
    <col min="11253" max="11253" width="17.85546875" bestFit="1" customWidth="1"/>
    <col min="11254" max="11254" width="11.7109375" customWidth="1"/>
    <col min="11255" max="11255" width="10.7109375" customWidth="1"/>
    <col min="11256" max="11256" width="12" customWidth="1"/>
    <col min="11257" max="11257" width="14.85546875" customWidth="1"/>
    <col min="11258" max="11258" width="11.85546875" customWidth="1"/>
    <col min="11259" max="11259" width="10.42578125" customWidth="1"/>
    <col min="11261" max="11261" width="12.85546875" customWidth="1"/>
    <col min="11262" max="11262" width="16.140625" customWidth="1"/>
    <col min="11264" max="11264" width="15.140625" bestFit="1" customWidth="1"/>
    <col min="11508" max="11508" width="68.28515625" customWidth="1"/>
    <col min="11509" max="11509" width="17.85546875" bestFit="1" customWidth="1"/>
    <col min="11510" max="11510" width="11.7109375" customWidth="1"/>
    <col min="11511" max="11511" width="10.7109375" customWidth="1"/>
    <col min="11512" max="11512" width="12" customWidth="1"/>
    <col min="11513" max="11513" width="14.85546875" customWidth="1"/>
    <col min="11514" max="11514" width="11.85546875" customWidth="1"/>
    <col min="11515" max="11515" width="10.42578125" customWidth="1"/>
    <col min="11517" max="11517" width="12.85546875" customWidth="1"/>
    <col min="11518" max="11518" width="16.140625" customWidth="1"/>
    <col min="11520" max="11520" width="15.140625" bestFit="1" customWidth="1"/>
    <col min="11764" max="11764" width="68.28515625" customWidth="1"/>
    <col min="11765" max="11765" width="17.85546875" bestFit="1" customWidth="1"/>
    <col min="11766" max="11766" width="11.7109375" customWidth="1"/>
    <col min="11767" max="11767" width="10.7109375" customWidth="1"/>
    <col min="11768" max="11768" width="12" customWidth="1"/>
    <col min="11769" max="11769" width="14.85546875" customWidth="1"/>
    <col min="11770" max="11770" width="11.85546875" customWidth="1"/>
    <col min="11771" max="11771" width="10.42578125" customWidth="1"/>
    <col min="11773" max="11773" width="12.85546875" customWidth="1"/>
    <col min="11774" max="11774" width="16.140625" customWidth="1"/>
    <col min="11776" max="11776" width="15.140625" bestFit="1" customWidth="1"/>
    <col min="12020" max="12020" width="68.28515625" customWidth="1"/>
    <col min="12021" max="12021" width="17.85546875" bestFit="1" customWidth="1"/>
    <col min="12022" max="12022" width="11.7109375" customWidth="1"/>
    <col min="12023" max="12023" width="10.7109375" customWidth="1"/>
    <col min="12024" max="12024" width="12" customWidth="1"/>
    <col min="12025" max="12025" width="14.85546875" customWidth="1"/>
    <col min="12026" max="12026" width="11.85546875" customWidth="1"/>
    <col min="12027" max="12027" width="10.42578125" customWidth="1"/>
    <col min="12029" max="12029" width="12.85546875" customWidth="1"/>
    <col min="12030" max="12030" width="16.140625" customWidth="1"/>
    <col min="12032" max="12032" width="15.140625" bestFit="1" customWidth="1"/>
    <col min="12276" max="12276" width="68.28515625" customWidth="1"/>
    <col min="12277" max="12277" width="17.85546875" bestFit="1" customWidth="1"/>
    <col min="12278" max="12278" width="11.7109375" customWidth="1"/>
    <col min="12279" max="12279" width="10.7109375" customWidth="1"/>
    <col min="12280" max="12280" width="12" customWidth="1"/>
    <col min="12281" max="12281" width="14.85546875" customWidth="1"/>
    <col min="12282" max="12282" width="11.85546875" customWidth="1"/>
    <col min="12283" max="12283" width="10.42578125" customWidth="1"/>
    <col min="12285" max="12285" width="12.85546875" customWidth="1"/>
    <col min="12286" max="12286" width="16.140625" customWidth="1"/>
    <col min="12288" max="12288" width="15.140625" bestFit="1" customWidth="1"/>
    <col min="12532" max="12532" width="68.28515625" customWidth="1"/>
    <col min="12533" max="12533" width="17.85546875" bestFit="1" customWidth="1"/>
    <col min="12534" max="12534" width="11.7109375" customWidth="1"/>
    <col min="12535" max="12535" width="10.7109375" customWidth="1"/>
    <col min="12536" max="12536" width="12" customWidth="1"/>
    <col min="12537" max="12537" width="14.85546875" customWidth="1"/>
    <col min="12538" max="12538" width="11.85546875" customWidth="1"/>
    <col min="12539" max="12539" width="10.42578125" customWidth="1"/>
    <col min="12541" max="12541" width="12.85546875" customWidth="1"/>
    <col min="12542" max="12542" width="16.140625" customWidth="1"/>
    <col min="12544" max="12544" width="15.140625" bestFit="1" customWidth="1"/>
    <col min="12788" max="12788" width="68.28515625" customWidth="1"/>
    <col min="12789" max="12789" width="17.85546875" bestFit="1" customWidth="1"/>
    <col min="12790" max="12790" width="11.7109375" customWidth="1"/>
    <col min="12791" max="12791" width="10.7109375" customWidth="1"/>
    <col min="12792" max="12792" width="12" customWidth="1"/>
    <col min="12793" max="12793" width="14.85546875" customWidth="1"/>
    <col min="12794" max="12794" width="11.85546875" customWidth="1"/>
    <col min="12795" max="12795" width="10.42578125" customWidth="1"/>
    <col min="12797" max="12797" width="12.85546875" customWidth="1"/>
    <col min="12798" max="12798" width="16.140625" customWidth="1"/>
    <col min="12800" max="12800" width="15.140625" bestFit="1" customWidth="1"/>
    <col min="13044" max="13044" width="68.28515625" customWidth="1"/>
    <col min="13045" max="13045" width="17.85546875" bestFit="1" customWidth="1"/>
    <col min="13046" max="13046" width="11.7109375" customWidth="1"/>
    <col min="13047" max="13047" width="10.7109375" customWidth="1"/>
    <col min="13048" max="13048" width="12" customWidth="1"/>
    <col min="13049" max="13049" width="14.85546875" customWidth="1"/>
    <col min="13050" max="13050" width="11.85546875" customWidth="1"/>
    <col min="13051" max="13051" width="10.42578125" customWidth="1"/>
    <col min="13053" max="13053" width="12.85546875" customWidth="1"/>
    <col min="13054" max="13054" width="16.140625" customWidth="1"/>
    <col min="13056" max="13056" width="15.140625" bestFit="1" customWidth="1"/>
    <col min="13300" max="13300" width="68.28515625" customWidth="1"/>
    <col min="13301" max="13301" width="17.85546875" bestFit="1" customWidth="1"/>
    <col min="13302" max="13302" width="11.7109375" customWidth="1"/>
    <col min="13303" max="13303" width="10.7109375" customWidth="1"/>
    <col min="13304" max="13304" width="12" customWidth="1"/>
    <col min="13305" max="13305" width="14.85546875" customWidth="1"/>
    <col min="13306" max="13306" width="11.85546875" customWidth="1"/>
    <col min="13307" max="13307" width="10.42578125" customWidth="1"/>
    <col min="13309" max="13309" width="12.85546875" customWidth="1"/>
    <col min="13310" max="13310" width="16.140625" customWidth="1"/>
    <col min="13312" max="13312" width="15.140625" bestFit="1" customWidth="1"/>
    <col min="13556" max="13556" width="68.28515625" customWidth="1"/>
    <col min="13557" max="13557" width="17.85546875" bestFit="1" customWidth="1"/>
    <col min="13558" max="13558" width="11.7109375" customWidth="1"/>
    <col min="13559" max="13559" width="10.7109375" customWidth="1"/>
    <col min="13560" max="13560" width="12" customWidth="1"/>
    <col min="13561" max="13561" width="14.85546875" customWidth="1"/>
    <col min="13562" max="13562" width="11.85546875" customWidth="1"/>
    <col min="13563" max="13563" width="10.42578125" customWidth="1"/>
    <col min="13565" max="13565" width="12.85546875" customWidth="1"/>
    <col min="13566" max="13566" width="16.140625" customWidth="1"/>
    <col min="13568" max="13568" width="15.140625" bestFit="1" customWidth="1"/>
    <col min="13812" max="13812" width="68.28515625" customWidth="1"/>
    <col min="13813" max="13813" width="17.85546875" bestFit="1" customWidth="1"/>
    <col min="13814" max="13814" width="11.7109375" customWidth="1"/>
    <col min="13815" max="13815" width="10.7109375" customWidth="1"/>
    <col min="13816" max="13816" width="12" customWidth="1"/>
    <col min="13817" max="13817" width="14.85546875" customWidth="1"/>
    <col min="13818" max="13818" width="11.85546875" customWidth="1"/>
    <col min="13819" max="13819" width="10.42578125" customWidth="1"/>
    <col min="13821" max="13821" width="12.85546875" customWidth="1"/>
    <col min="13822" max="13822" width="16.140625" customWidth="1"/>
    <col min="13824" max="13824" width="15.140625" bestFit="1" customWidth="1"/>
    <col min="14068" max="14068" width="68.28515625" customWidth="1"/>
    <col min="14069" max="14069" width="17.85546875" bestFit="1" customWidth="1"/>
    <col min="14070" max="14070" width="11.7109375" customWidth="1"/>
    <col min="14071" max="14071" width="10.7109375" customWidth="1"/>
    <col min="14072" max="14072" width="12" customWidth="1"/>
    <col min="14073" max="14073" width="14.85546875" customWidth="1"/>
    <col min="14074" max="14074" width="11.85546875" customWidth="1"/>
    <col min="14075" max="14075" width="10.42578125" customWidth="1"/>
    <col min="14077" max="14077" width="12.85546875" customWidth="1"/>
    <col min="14078" max="14078" width="16.140625" customWidth="1"/>
    <col min="14080" max="14080" width="15.140625" bestFit="1" customWidth="1"/>
    <col min="14324" max="14324" width="68.28515625" customWidth="1"/>
    <col min="14325" max="14325" width="17.85546875" bestFit="1" customWidth="1"/>
    <col min="14326" max="14326" width="11.7109375" customWidth="1"/>
    <col min="14327" max="14327" width="10.7109375" customWidth="1"/>
    <col min="14328" max="14328" width="12" customWidth="1"/>
    <col min="14329" max="14329" width="14.85546875" customWidth="1"/>
    <col min="14330" max="14330" width="11.85546875" customWidth="1"/>
    <col min="14331" max="14331" width="10.42578125" customWidth="1"/>
    <col min="14333" max="14333" width="12.85546875" customWidth="1"/>
    <col min="14334" max="14334" width="16.140625" customWidth="1"/>
    <col min="14336" max="14336" width="15.140625" bestFit="1" customWidth="1"/>
    <col min="14580" max="14580" width="68.28515625" customWidth="1"/>
    <col min="14581" max="14581" width="17.85546875" bestFit="1" customWidth="1"/>
    <col min="14582" max="14582" width="11.7109375" customWidth="1"/>
    <col min="14583" max="14583" width="10.7109375" customWidth="1"/>
    <col min="14584" max="14584" width="12" customWidth="1"/>
    <col min="14585" max="14585" width="14.85546875" customWidth="1"/>
    <col min="14586" max="14586" width="11.85546875" customWidth="1"/>
    <col min="14587" max="14587" width="10.42578125" customWidth="1"/>
    <col min="14589" max="14589" width="12.85546875" customWidth="1"/>
    <col min="14590" max="14590" width="16.140625" customWidth="1"/>
    <col min="14592" max="14592" width="15.140625" bestFit="1" customWidth="1"/>
    <col min="14836" max="14836" width="68.28515625" customWidth="1"/>
    <col min="14837" max="14837" width="17.85546875" bestFit="1" customWidth="1"/>
    <col min="14838" max="14838" width="11.7109375" customWidth="1"/>
    <col min="14839" max="14839" width="10.7109375" customWidth="1"/>
    <col min="14840" max="14840" width="12" customWidth="1"/>
    <col min="14841" max="14841" width="14.85546875" customWidth="1"/>
    <col min="14842" max="14842" width="11.85546875" customWidth="1"/>
    <col min="14843" max="14843" width="10.42578125" customWidth="1"/>
    <col min="14845" max="14845" width="12.85546875" customWidth="1"/>
    <col min="14846" max="14846" width="16.140625" customWidth="1"/>
    <col min="14848" max="14848" width="15.140625" bestFit="1" customWidth="1"/>
    <col min="15092" max="15092" width="68.28515625" customWidth="1"/>
    <col min="15093" max="15093" width="17.85546875" bestFit="1" customWidth="1"/>
    <col min="15094" max="15094" width="11.7109375" customWidth="1"/>
    <col min="15095" max="15095" width="10.7109375" customWidth="1"/>
    <col min="15096" max="15096" width="12" customWidth="1"/>
    <col min="15097" max="15097" width="14.85546875" customWidth="1"/>
    <col min="15098" max="15098" width="11.85546875" customWidth="1"/>
    <col min="15099" max="15099" width="10.42578125" customWidth="1"/>
    <col min="15101" max="15101" width="12.85546875" customWidth="1"/>
    <col min="15102" max="15102" width="16.140625" customWidth="1"/>
    <col min="15104" max="15104" width="15.140625" bestFit="1" customWidth="1"/>
    <col min="15348" max="15348" width="68.28515625" customWidth="1"/>
    <col min="15349" max="15349" width="17.85546875" bestFit="1" customWidth="1"/>
    <col min="15350" max="15350" width="11.7109375" customWidth="1"/>
    <col min="15351" max="15351" width="10.7109375" customWidth="1"/>
    <col min="15352" max="15352" width="12" customWidth="1"/>
    <col min="15353" max="15353" width="14.85546875" customWidth="1"/>
    <col min="15354" max="15354" width="11.85546875" customWidth="1"/>
    <col min="15355" max="15355" width="10.42578125" customWidth="1"/>
    <col min="15357" max="15357" width="12.85546875" customWidth="1"/>
    <col min="15358" max="15358" width="16.140625" customWidth="1"/>
    <col min="15360" max="15360" width="15.140625" bestFit="1" customWidth="1"/>
    <col min="15604" max="15604" width="68.28515625" customWidth="1"/>
    <col min="15605" max="15605" width="17.85546875" bestFit="1" customWidth="1"/>
    <col min="15606" max="15606" width="11.7109375" customWidth="1"/>
    <col min="15607" max="15607" width="10.7109375" customWidth="1"/>
    <col min="15608" max="15608" width="12" customWidth="1"/>
    <col min="15609" max="15609" width="14.85546875" customWidth="1"/>
    <col min="15610" max="15610" width="11.85546875" customWidth="1"/>
    <col min="15611" max="15611" width="10.42578125" customWidth="1"/>
    <col min="15613" max="15613" width="12.85546875" customWidth="1"/>
    <col min="15614" max="15614" width="16.140625" customWidth="1"/>
    <col min="15616" max="15616" width="15.140625" bestFit="1" customWidth="1"/>
    <col min="15860" max="15860" width="68.28515625" customWidth="1"/>
    <col min="15861" max="15861" width="17.85546875" bestFit="1" customWidth="1"/>
    <col min="15862" max="15862" width="11.7109375" customWidth="1"/>
    <col min="15863" max="15863" width="10.7109375" customWidth="1"/>
    <col min="15864" max="15864" width="12" customWidth="1"/>
    <col min="15865" max="15865" width="14.85546875" customWidth="1"/>
    <col min="15866" max="15866" width="11.85546875" customWidth="1"/>
    <col min="15867" max="15867" width="10.42578125" customWidth="1"/>
    <col min="15869" max="15869" width="12.85546875" customWidth="1"/>
    <col min="15870" max="15870" width="16.140625" customWidth="1"/>
    <col min="15872" max="15872" width="15.140625" bestFit="1" customWidth="1"/>
    <col min="16116" max="16116" width="68.28515625" customWidth="1"/>
    <col min="16117" max="16117" width="17.85546875" bestFit="1" customWidth="1"/>
    <col min="16118" max="16118" width="11.7109375" customWidth="1"/>
    <col min="16119" max="16119" width="10.7109375" customWidth="1"/>
    <col min="16120" max="16120" width="12" customWidth="1"/>
    <col min="16121" max="16121" width="14.85546875" customWidth="1"/>
    <col min="16122" max="16122" width="11.85546875" customWidth="1"/>
    <col min="16123" max="16123" width="10.42578125" customWidth="1"/>
    <col min="16125" max="16125" width="12.85546875" customWidth="1"/>
    <col min="16126" max="16126" width="16.140625" customWidth="1"/>
    <col min="16128" max="16128" width="15.140625" bestFit="1" customWidth="1"/>
  </cols>
  <sheetData>
    <row r="2" spans="1:28" x14ac:dyDescent="0.25">
      <c r="A2" t="s">
        <v>30</v>
      </c>
      <c r="B2" s="5">
        <v>11479100</v>
      </c>
    </row>
    <row r="3" spans="1:28" x14ac:dyDescent="0.25">
      <c r="C3" s="6"/>
      <c r="D3" s="6"/>
      <c r="E3" s="6"/>
      <c r="F3" s="7"/>
      <c r="G3" s="8"/>
    </row>
    <row r="4" spans="1:28" ht="45" x14ac:dyDescent="0.25">
      <c r="A4" s="4"/>
      <c r="B4" s="9" t="s">
        <v>31</v>
      </c>
      <c r="C4" s="10" t="s">
        <v>32</v>
      </c>
      <c r="D4" s="10" t="s">
        <v>157</v>
      </c>
      <c r="E4" s="10" t="s">
        <v>33</v>
      </c>
      <c r="F4" s="10" t="s">
        <v>34</v>
      </c>
      <c r="G4" s="10" t="s">
        <v>35</v>
      </c>
      <c r="H4" s="9" t="s">
        <v>24</v>
      </c>
      <c r="I4" s="9" t="s">
        <v>36</v>
      </c>
      <c r="J4" s="9" t="s">
        <v>37</v>
      </c>
      <c r="K4" s="9"/>
      <c r="L4" s="11" t="s">
        <v>38</v>
      </c>
      <c r="M4" s="82"/>
      <c r="N4" s="11"/>
      <c r="O4" s="11"/>
      <c r="P4" s="11"/>
      <c r="Q4" s="11" t="s">
        <v>47</v>
      </c>
      <c r="R4" s="11"/>
      <c r="S4" s="11" t="s">
        <v>155</v>
      </c>
      <c r="T4" s="11"/>
      <c r="U4" s="11"/>
      <c r="V4" s="11" t="s">
        <v>48</v>
      </c>
      <c r="W4" s="11" t="s">
        <v>49</v>
      </c>
    </row>
    <row r="5" spans="1:28" ht="26.25" x14ac:dyDescent="0.25">
      <c r="A5" s="12" t="s">
        <v>2</v>
      </c>
      <c r="B5" s="3">
        <v>51</v>
      </c>
      <c r="C5" s="13">
        <v>46</v>
      </c>
      <c r="D5" s="3">
        <v>30.5</v>
      </c>
      <c r="E5" s="14">
        <f>B5*$C$5*$D$5</f>
        <v>71553</v>
      </c>
      <c r="F5" s="3">
        <v>40</v>
      </c>
      <c r="G5" s="3"/>
      <c r="H5" s="3">
        <v>30.5</v>
      </c>
      <c r="I5" s="13">
        <v>23</v>
      </c>
      <c r="J5" s="14">
        <f>F5*$H$5*$I$5</f>
        <v>28060</v>
      </c>
      <c r="K5" s="14"/>
      <c r="L5" s="14">
        <f>E5+J5</f>
        <v>99613</v>
      </c>
      <c r="M5" s="18">
        <v>100000</v>
      </c>
      <c r="N5" s="14"/>
      <c r="O5" s="14">
        <f>(M5-Q5)/M5*100</f>
        <v>10</v>
      </c>
      <c r="P5" s="14">
        <f>M5-Q5</f>
        <v>10000</v>
      </c>
      <c r="Q5" s="60">
        <v>90000</v>
      </c>
      <c r="R5" s="60"/>
      <c r="S5" s="60">
        <f>Q5+Q5*6.75/100</f>
        <v>96075</v>
      </c>
      <c r="T5" s="60">
        <f>M5-Q5</f>
        <v>10000</v>
      </c>
      <c r="U5" s="60">
        <f>T5/Q5*100</f>
        <v>11.111111111111111</v>
      </c>
      <c r="V5" s="73">
        <v>96000</v>
      </c>
      <c r="W5" s="67">
        <f t="shared" ref="W5:W15" si="0">V5-Q5</f>
        <v>6000</v>
      </c>
      <c r="Y5">
        <f>Q5/Q16*100</f>
        <v>9.1078828726262575</v>
      </c>
      <c r="Z5" s="20">
        <f>M29*Y5/100</f>
        <v>0</v>
      </c>
      <c r="AA5" s="20">
        <f>L5-Z5</f>
        <v>99613</v>
      </c>
      <c r="AB5">
        <v>93370</v>
      </c>
    </row>
    <row r="6" spans="1:28" x14ac:dyDescent="0.25">
      <c r="A6" s="12" t="s">
        <v>146</v>
      </c>
      <c r="B6" s="3">
        <v>30</v>
      </c>
      <c r="C6" s="3"/>
      <c r="D6" s="3"/>
      <c r="E6" s="14">
        <f>B6*$C$5*$D$5</f>
        <v>42090</v>
      </c>
      <c r="F6" s="3">
        <v>0</v>
      </c>
      <c r="G6" s="3"/>
      <c r="H6" s="4"/>
      <c r="I6" s="4">
        <v>23</v>
      </c>
      <c r="J6" s="14">
        <f t="shared" ref="J6:J15" si="1">F6*$H$5*$I$5</f>
        <v>0</v>
      </c>
      <c r="K6" s="14">
        <v>23000</v>
      </c>
      <c r="L6" s="14">
        <f>E6+K6</f>
        <v>65090</v>
      </c>
      <c r="M6" s="18">
        <v>65000</v>
      </c>
      <c r="N6" s="14"/>
      <c r="O6" s="14" t="e">
        <f>(M6-Q6-#REF!)/M6*100</f>
        <v>#REF!</v>
      </c>
      <c r="P6" s="14">
        <f t="shared" ref="P6:P15" si="2">M6-Q6</f>
        <v>11880</v>
      </c>
      <c r="Q6" s="60">
        <v>53120</v>
      </c>
      <c r="R6" s="60"/>
      <c r="S6" s="60">
        <f>Q6+Q6*6.75/100</f>
        <v>56705.599999999999</v>
      </c>
      <c r="T6" s="60">
        <f t="shared" ref="T6:T15" si="3">M6-Q6</f>
        <v>11880</v>
      </c>
      <c r="U6" s="60">
        <f t="shared" ref="U6:U15" si="4">T6/Q6*100</f>
        <v>22.364457831325304</v>
      </c>
      <c r="V6" s="73">
        <v>56700</v>
      </c>
      <c r="W6" s="67">
        <f t="shared" si="0"/>
        <v>3580</v>
      </c>
      <c r="Y6">
        <f>Q6/Q16*100</f>
        <v>5.3756748688211866</v>
      </c>
      <c r="Z6" s="20">
        <f>M29*Y6/100</f>
        <v>0</v>
      </c>
      <c r="AA6" s="20">
        <f t="shared" ref="AA6:AA15" si="5">L6-Z6</f>
        <v>65090</v>
      </c>
      <c r="AB6">
        <v>53750</v>
      </c>
    </row>
    <row r="7" spans="1:28" x14ac:dyDescent="0.25">
      <c r="A7" s="12" t="s">
        <v>1</v>
      </c>
      <c r="B7" s="3">
        <v>8</v>
      </c>
      <c r="C7" s="3"/>
      <c r="D7" s="3"/>
      <c r="E7" s="14">
        <f t="shared" ref="E7:E15" si="6">B7*$C$5*$D$5</f>
        <v>11224</v>
      </c>
      <c r="F7" s="3">
        <v>22</v>
      </c>
      <c r="G7" s="3"/>
      <c r="H7" s="4"/>
      <c r="I7" s="4"/>
      <c r="J7" s="14">
        <f t="shared" si="1"/>
        <v>15433</v>
      </c>
      <c r="K7" s="14"/>
      <c r="L7" s="14">
        <f t="shared" ref="L7:L12" si="7">E7+J7</f>
        <v>26657</v>
      </c>
      <c r="M7" s="18">
        <v>26500</v>
      </c>
      <c r="N7" s="14"/>
      <c r="O7" s="14">
        <f>(M7-Q7)/M7*100</f>
        <v>9.3962264150943398</v>
      </c>
      <c r="P7" s="14">
        <f t="shared" si="2"/>
        <v>2490</v>
      </c>
      <c r="Q7" s="60">
        <v>24010</v>
      </c>
      <c r="R7" s="60"/>
      <c r="S7" s="60">
        <f>Q7+Q7*6.75/100</f>
        <v>25630.674999999999</v>
      </c>
      <c r="T7" s="60">
        <f t="shared" si="3"/>
        <v>2490</v>
      </c>
      <c r="U7" s="60">
        <f t="shared" si="4"/>
        <v>10.370678883798417</v>
      </c>
      <c r="V7" s="73">
        <v>25600</v>
      </c>
      <c r="W7" s="67">
        <f t="shared" si="0"/>
        <v>1590</v>
      </c>
      <c r="Y7">
        <f>Q7/Q16*100</f>
        <v>2.4297807530195161</v>
      </c>
      <c r="Z7" s="20">
        <f>M29*Y7/100</f>
        <v>0</v>
      </c>
      <c r="AA7" s="20">
        <f t="shared" si="5"/>
        <v>26657</v>
      </c>
      <c r="AB7">
        <v>31880</v>
      </c>
    </row>
    <row r="8" spans="1:28" ht="26.25" x14ac:dyDescent="0.25">
      <c r="A8" s="12" t="s">
        <v>25</v>
      </c>
      <c r="B8" s="3">
        <v>15</v>
      </c>
      <c r="C8" s="3"/>
      <c r="D8" s="3"/>
      <c r="E8" s="14">
        <f t="shared" si="6"/>
        <v>21045</v>
      </c>
      <c r="F8" s="3">
        <v>135</v>
      </c>
      <c r="G8" s="3"/>
      <c r="H8" s="4"/>
      <c r="I8" s="4"/>
      <c r="J8" s="14">
        <f t="shared" si="1"/>
        <v>94702.5</v>
      </c>
      <c r="K8" s="14"/>
      <c r="L8" s="14">
        <f t="shared" si="7"/>
        <v>115747.5</v>
      </c>
      <c r="M8" s="18">
        <v>115700</v>
      </c>
      <c r="N8" s="14"/>
      <c r="O8" s="14">
        <v>0</v>
      </c>
      <c r="P8" s="14">
        <f t="shared" si="2"/>
        <v>10700</v>
      </c>
      <c r="Q8" s="60">
        <v>105000</v>
      </c>
      <c r="R8" s="60"/>
      <c r="S8" s="60">
        <f>Q8+Q8*6.75/100</f>
        <v>112087.5</v>
      </c>
      <c r="T8" s="60">
        <f t="shared" si="3"/>
        <v>10700</v>
      </c>
      <c r="U8" s="60">
        <f t="shared" si="4"/>
        <v>10.19047619047619</v>
      </c>
      <c r="V8" s="73">
        <v>112000</v>
      </c>
      <c r="W8" s="67">
        <f t="shared" si="0"/>
        <v>7000</v>
      </c>
      <c r="Y8">
        <f>Q8/Q16*100</f>
        <v>10.625863351397301</v>
      </c>
      <c r="Z8" s="20">
        <f>M29*Y8/100</f>
        <v>0</v>
      </c>
      <c r="AA8" s="20">
        <f t="shared" si="5"/>
        <v>115747.5</v>
      </c>
      <c r="AB8">
        <v>109840</v>
      </c>
    </row>
    <row r="9" spans="1:28" ht="26.25" x14ac:dyDescent="0.25">
      <c r="A9" s="12" t="s">
        <v>26</v>
      </c>
      <c r="B9" s="3">
        <v>35</v>
      </c>
      <c r="C9" s="3"/>
      <c r="D9" s="3"/>
      <c r="E9" s="14">
        <f t="shared" si="6"/>
        <v>49105</v>
      </c>
      <c r="F9" s="3">
        <v>170</v>
      </c>
      <c r="G9" s="3"/>
      <c r="H9" s="4"/>
      <c r="I9" s="4"/>
      <c r="J9" s="14">
        <f>F9*$H$5*$I$5</f>
        <v>119255</v>
      </c>
      <c r="K9" s="14"/>
      <c r="L9" s="14">
        <f>E9+J9</f>
        <v>168360</v>
      </c>
      <c r="M9" s="18">
        <v>168000</v>
      </c>
      <c r="N9" s="14"/>
      <c r="O9" s="14">
        <f>(M9-Q9)/M9*100</f>
        <v>13.907738095238095</v>
      </c>
      <c r="P9" s="14">
        <f t="shared" si="2"/>
        <v>23365</v>
      </c>
      <c r="Q9" s="60">
        <v>144635</v>
      </c>
      <c r="R9" s="60"/>
      <c r="S9" s="60">
        <f>Q9+Q9*6.75/100</f>
        <v>154397.86249999999</v>
      </c>
      <c r="T9" s="60">
        <f t="shared" si="3"/>
        <v>23365</v>
      </c>
      <c r="U9" s="60">
        <f t="shared" si="4"/>
        <v>16.15445777301483</v>
      </c>
      <c r="V9" s="73">
        <v>154300</v>
      </c>
      <c r="W9" s="67">
        <f t="shared" si="0"/>
        <v>9665</v>
      </c>
      <c r="Y9">
        <f>Q9/Q16*100</f>
        <v>14.636873769803321</v>
      </c>
      <c r="Z9" s="20">
        <f>M29*Y9/100</f>
        <v>0</v>
      </c>
      <c r="AA9" s="20">
        <f t="shared" si="5"/>
        <v>168360</v>
      </c>
      <c r="AB9">
        <v>159540</v>
      </c>
    </row>
    <row r="10" spans="1:28" ht="26.25" x14ac:dyDescent="0.25">
      <c r="A10" s="16" t="s">
        <v>27</v>
      </c>
      <c r="B10" s="17">
        <v>19</v>
      </c>
      <c r="C10" s="17"/>
      <c r="D10" s="17"/>
      <c r="E10" s="14">
        <f>B10*$C$5*$D$5</f>
        <v>26657</v>
      </c>
      <c r="F10" s="17">
        <v>0</v>
      </c>
      <c r="G10" s="17"/>
      <c r="H10" s="19"/>
      <c r="I10" s="19"/>
      <c r="J10" s="18">
        <f t="shared" si="1"/>
        <v>0</v>
      </c>
      <c r="K10" s="18"/>
      <c r="L10" s="18">
        <f t="shared" si="7"/>
        <v>26657</v>
      </c>
      <c r="M10" s="18">
        <v>26600</v>
      </c>
      <c r="N10" s="18"/>
      <c r="O10" s="18"/>
      <c r="P10" s="14">
        <f t="shared" si="2"/>
        <v>26600</v>
      </c>
      <c r="Q10" s="68"/>
      <c r="R10" s="68"/>
      <c r="S10" s="68">
        <f>S11</f>
        <v>25620</v>
      </c>
      <c r="T10" s="60">
        <f t="shared" si="3"/>
        <v>26600</v>
      </c>
      <c r="U10" s="60" t="e">
        <f t="shared" si="4"/>
        <v>#DIV/0!</v>
      </c>
      <c r="V10" s="73">
        <v>25500</v>
      </c>
      <c r="W10" s="68">
        <f t="shared" si="0"/>
        <v>25500</v>
      </c>
      <c r="Y10">
        <v>0</v>
      </c>
      <c r="AA10" s="20">
        <f t="shared" si="5"/>
        <v>26657</v>
      </c>
      <c r="AB10">
        <v>33120</v>
      </c>
    </row>
    <row r="11" spans="1:28" ht="26.25" x14ac:dyDescent="0.25">
      <c r="A11" s="12" t="s">
        <v>44</v>
      </c>
      <c r="B11" s="3">
        <v>19</v>
      </c>
      <c r="C11" s="3"/>
      <c r="D11" s="3"/>
      <c r="E11" s="14">
        <f t="shared" si="6"/>
        <v>26657</v>
      </c>
      <c r="F11" s="3">
        <v>0</v>
      </c>
      <c r="G11" s="3"/>
      <c r="H11" s="4"/>
      <c r="I11" s="4"/>
      <c r="J11" s="14">
        <f t="shared" si="1"/>
        <v>0</v>
      </c>
      <c r="K11" s="14"/>
      <c r="L11" s="14">
        <f t="shared" si="7"/>
        <v>26657</v>
      </c>
      <c r="M11" s="18">
        <v>26600</v>
      </c>
      <c r="N11" s="14"/>
      <c r="O11" s="14">
        <f>(M11-Q11)/M11*100</f>
        <v>9.7744360902255636</v>
      </c>
      <c r="P11" s="14">
        <f t="shared" si="2"/>
        <v>2600</v>
      </c>
      <c r="Q11" s="60">
        <v>24000</v>
      </c>
      <c r="R11" s="60"/>
      <c r="S11" s="60">
        <f>Q11+Q11*6.75/100</f>
        <v>25620</v>
      </c>
      <c r="T11" s="60">
        <f t="shared" si="3"/>
        <v>2600</v>
      </c>
      <c r="U11" s="60">
        <f t="shared" si="4"/>
        <v>10.833333333333334</v>
      </c>
      <c r="V11" s="73">
        <v>25500</v>
      </c>
      <c r="W11" s="67">
        <f t="shared" si="0"/>
        <v>1500</v>
      </c>
      <c r="Y11">
        <f>Q11/Q16*100</f>
        <v>2.4287687660336688</v>
      </c>
      <c r="Z11" s="20">
        <f>M29*Y11/100</f>
        <v>0</v>
      </c>
      <c r="AA11" s="20">
        <f t="shared" si="5"/>
        <v>26657</v>
      </c>
      <c r="AB11">
        <v>29660</v>
      </c>
    </row>
    <row r="12" spans="1:28" x14ac:dyDescent="0.25">
      <c r="A12" s="12" t="s">
        <v>28</v>
      </c>
      <c r="B12" s="3">
        <v>15</v>
      </c>
      <c r="C12" s="3"/>
      <c r="D12" s="3"/>
      <c r="E12" s="14">
        <f t="shared" si="6"/>
        <v>21045</v>
      </c>
      <c r="F12" s="3">
        <v>10</v>
      </c>
      <c r="G12" s="3"/>
      <c r="H12" s="4"/>
      <c r="I12" s="4"/>
      <c r="J12" s="14">
        <f t="shared" si="1"/>
        <v>7015</v>
      </c>
      <c r="K12" s="14"/>
      <c r="L12" s="14">
        <f t="shared" si="7"/>
        <v>28060</v>
      </c>
      <c r="M12" s="18">
        <v>27600</v>
      </c>
      <c r="N12" s="14"/>
      <c r="O12" s="14">
        <f>(M12-Q12)/M12*100</f>
        <v>5.7971014492753623</v>
      </c>
      <c r="P12" s="14">
        <f t="shared" si="2"/>
        <v>1600</v>
      </c>
      <c r="Q12" s="60">
        <v>26000</v>
      </c>
      <c r="R12" s="60"/>
      <c r="S12" s="60">
        <f>Q12+Q12*6.75/100</f>
        <v>27755</v>
      </c>
      <c r="T12" s="60">
        <f t="shared" si="3"/>
        <v>1600</v>
      </c>
      <c r="U12" s="60">
        <f t="shared" si="4"/>
        <v>6.1538461538461542</v>
      </c>
      <c r="V12" s="73">
        <v>27700</v>
      </c>
      <c r="W12" s="67">
        <f t="shared" si="0"/>
        <v>1700</v>
      </c>
      <c r="Y12">
        <f>Q12/Q16*100</f>
        <v>2.6311661632031411</v>
      </c>
      <c r="Z12" s="20">
        <f>M29*Y12/100</f>
        <v>0</v>
      </c>
      <c r="AA12" s="20">
        <f t="shared" si="5"/>
        <v>28060</v>
      </c>
      <c r="AB12">
        <v>35960</v>
      </c>
    </row>
    <row r="13" spans="1:28" ht="26.25" x14ac:dyDescent="0.25">
      <c r="A13" s="12" t="s">
        <v>0</v>
      </c>
      <c r="B13" s="3">
        <v>10</v>
      </c>
      <c r="C13" s="3"/>
      <c r="D13" s="3"/>
      <c r="E13" s="14">
        <f>B13*$C$5*$D$5</f>
        <v>14030</v>
      </c>
      <c r="F13" s="3">
        <v>236</v>
      </c>
      <c r="G13" s="3">
        <v>255</v>
      </c>
      <c r="H13" s="4">
        <f>B13+F13+G13</f>
        <v>501</v>
      </c>
      <c r="I13" s="4">
        <v>650</v>
      </c>
      <c r="J13" s="14">
        <f>F13*$H$5*$I$5</f>
        <v>165554</v>
      </c>
      <c r="K13" s="14">
        <f>G13*I6*H5</f>
        <v>178882.5</v>
      </c>
      <c r="L13" s="14">
        <f>E13+J13+K13</f>
        <v>358466.5</v>
      </c>
      <c r="M13" s="18">
        <v>330000</v>
      </c>
      <c r="N13" s="14"/>
      <c r="O13" s="14">
        <f>(M13-Q13)/M13*100</f>
        <v>-10.606060606060606</v>
      </c>
      <c r="P13" s="14">
        <f t="shared" si="2"/>
        <v>-35000</v>
      </c>
      <c r="Q13" s="60">
        <v>365000</v>
      </c>
      <c r="R13" s="60"/>
      <c r="S13" s="60">
        <f>Q13+Q13*6.75/100</f>
        <v>389637.5</v>
      </c>
      <c r="T13" s="60">
        <f t="shared" si="3"/>
        <v>-35000</v>
      </c>
      <c r="U13" s="60">
        <f t="shared" si="4"/>
        <v>-9.5890410958904102</v>
      </c>
      <c r="V13" s="73">
        <v>389600</v>
      </c>
      <c r="W13" s="67">
        <f t="shared" si="0"/>
        <v>24600</v>
      </c>
      <c r="Y13">
        <f>Q13/Q16*100</f>
        <v>36.937524983428716</v>
      </c>
      <c r="Z13" s="20">
        <f>M29*Y13/100</f>
        <v>0</v>
      </c>
      <c r="AA13" s="20">
        <f t="shared" si="5"/>
        <v>358466.5</v>
      </c>
      <c r="AB13">
        <v>362120</v>
      </c>
    </row>
    <row r="14" spans="1:28" ht="26.25" x14ac:dyDescent="0.25">
      <c r="A14" s="12" t="s">
        <v>29</v>
      </c>
      <c r="B14" s="3">
        <v>10</v>
      </c>
      <c r="C14" s="3"/>
      <c r="D14" s="3"/>
      <c r="E14" s="14">
        <f t="shared" si="6"/>
        <v>14030</v>
      </c>
      <c r="F14" s="3">
        <v>3</v>
      </c>
      <c r="G14" s="3"/>
      <c r="H14" s="4"/>
      <c r="I14" s="4"/>
      <c r="J14" s="14">
        <f t="shared" si="1"/>
        <v>2104.5</v>
      </c>
      <c r="K14" s="14"/>
      <c r="L14" s="14">
        <f>E14+J14</f>
        <v>16134.5</v>
      </c>
      <c r="M14" s="18">
        <v>16450</v>
      </c>
      <c r="N14" s="14"/>
      <c r="O14" s="14">
        <v>0</v>
      </c>
      <c r="P14" s="14">
        <f t="shared" si="2"/>
        <v>910</v>
      </c>
      <c r="Q14" s="60">
        <v>15540</v>
      </c>
      <c r="R14" s="60"/>
      <c r="S14" s="60">
        <f>Q14+Q14*6.75/100</f>
        <v>16588.95</v>
      </c>
      <c r="T14" s="60">
        <f t="shared" si="3"/>
        <v>910</v>
      </c>
      <c r="U14" s="60">
        <f t="shared" si="4"/>
        <v>5.8558558558558556</v>
      </c>
      <c r="V14" s="73">
        <v>16500</v>
      </c>
      <c r="W14" s="67">
        <f t="shared" si="0"/>
        <v>960</v>
      </c>
      <c r="Y14">
        <f>Q14/Q16*100</f>
        <v>1.5726277760068006</v>
      </c>
      <c r="Z14" s="20">
        <f>M29*Y14/100</f>
        <v>0</v>
      </c>
      <c r="AA14" s="20">
        <f t="shared" si="5"/>
        <v>16134.5</v>
      </c>
      <c r="AB14">
        <v>13760</v>
      </c>
    </row>
    <row r="15" spans="1:28" ht="26.25" x14ac:dyDescent="0.25">
      <c r="A15" s="26" t="s">
        <v>147</v>
      </c>
      <c r="B15" s="3">
        <v>5</v>
      </c>
      <c r="C15" s="3"/>
      <c r="D15" s="3"/>
      <c r="E15" s="14">
        <f t="shared" si="6"/>
        <v>7015</v>
      </c>
      <c r="F15" s="3">
        <v>210</v>
      </c>
      <c r="G15" s="3"/>
      <c r="H15" s="4"/>
      <c r="I15" s="4"/>
      <c r="J15" s="14">
        <f t="shared" si="1"/>
        <v>147315</v>
      </c>
      <c r="K15" s="14"/>
      <c r="L15" s="14">
        <f>E15+J15</f>
        <v>154330</v>
      </c>
      <c r="M15" s="18">
        <v>150550</v>
      </c>
      <c r="N15" s="14"/>
      <c r="O15" s="14"/>
      <c r="P15" s="14">
        <f t="shared" si="2"/>
        <v>9700</v>
      </c>
      <c r="Q15" s="60">
        <v>140850</v>
      </c>
      <c r="R15" s="60"/>
      <c r="S15" s="60">
        <f>Q15+Q15*6/100</f>
        <v>149301</v>
      </c>
      <c r="T15" s="60">
        <f t="shared" si="3"/>
        <v>9700</v>
      </c>
      <c r="U15" s="60">
        <f t="shared" si="4"/>
        <v>6.8867589634362787</v>
      </c>
      <c r="V15" s="73">
        <v>148350</v>
      </c>
      <c r="W15" s="67">
        <f t="shared" si="0"/>
        <v>7500</v>
      </c>
      <c r="Y15">
        <f>Q15/Q16*100</f>
        <v>14.253836695660095</v>
      </c>
      <c r="Z15" s="20">
        <f>M29*Y15/100</f>
        <v>0</v>
      </c>
      <c r="AA15" s="20">
        <f t="shared" si="5"/>
        <v>154330</v>
      </c>
      <c r="AB15">
        <v>154720</v>
      </c>
    </row>
    <row r="16" spans="1:28" ht="15.75" x14ac:dyDescent="0.25">
      <c r="A16" s="22" t="s">
        <v>39</v>
      </c>
      <c r="B16" s="23">
        <f>SUM(B5:B15)</f>
        <v>217</v>
      </c>
      <c r="C16" s="23"/>
      <c r="D16" s="23"/>
      <c r="E16" s="24">
        <f>SUM(E5:E15)</f>
        <v>304451</v>
      </c>
      <c r="F16" s="23">
        <f>SUM(F5:F15)</f>
        <v>826</v>
      </c>
      <c r="G16" s="23">
        <f>SUM(G5:G14)</f>
        <v>255</v>
      </c>
      <c r="H16" s="25"/>
      <c r="I16" s="25"/>
      <c r="J16" s="24">
        <f>SUM(J5:J15)</f>
        <v>579439</v>
      </c>
      <c r="K16" s="24"/>
      <c r="L16" s="24">
        <f>SUM(L5:L15)</f>
        <v>1085772.5</v>
      </c>
      <c r="M16" s="83">
        <f>SUM(M5:M15)</f>
        <v>1053000</v>
      </c>
      <c r="N16" s="24"/>
      <c r="O16" s="24"/>
      <c r="P16" s="24"/>
      <c r="Q16" s="69">
        <f>SUM(Q5:Q15)</f>
        <v>988155</v>
      </c>
      <c r="R16" s="69"/>
      <c r="S16" s="69">
        <f>SUM(S5:S15)</f>
        <v>1079419.0874999999</v>
      </c>
      <c r="T16" s="60"/>
      <c r="U16" s="80"/>
      <c r="V16" s="74">
        <f>SUM(V5:V15)</f>
        <v>1077750</v>
      </c>
      <c r="W16" s="70"/>
    </row>
    <row r="17" spans="2:26" x14ac:dyDescent="0.25">
      <c r="W17" s="20"/>
    </row>
    <row r="18" spans="2:26" x14ac:dyDescent="0.25">
      <c r="B18">
        <f>B16+F16+G16</f>
        <v>1298</v>
      </c>
      <c r="E18" s="20"/>
      <c r="I18" s="20">
        <f>E13+J13+K13</f>
        <v>358466.5</v>
      </c>
      <c r="J18" s="20"/>
      <c r="K18" s="20"/>
      <c r="L18" s="20"/>
      <c r="M18" s="84"/>
      <c r="N18" s="20"/>
      <c r="O18" s="20"/>
      <c r="P18" s="20"/>
      <c r="Q18" s="61" t="s">
        <v>148</v>
      </c>
      <c r="R18" s="61"/>
      <c r="S18" s="20">
        <f>S16*11</f>
        <v>11873609.962499999</v>
      </c>
      <c r="T18" s="20"/>
      <c r="U18" s="20"/>
      <c r="V18" s="75">
        <f>M16*11</f>
        <v>11583000</v>
      </c>
      <c r="W18" s="20"/>
    </row>
    <row r="19" spans="2:26" x14ac:dyDescent="0.25">
      <c r="B19">
        <v>1380</v>
      </c>
      <c r="K19" s="1">
        <v>380000</v>
      </c>
      <c r="L19" s="20"/>
      <c r="M19" s="84"/>
      <c r="N19" s="20"/>
      <c r="O19" s="20"/>
      <c r="P19" s="20"/>
      <c r="Q19" s="61" t="s">
        <v>149</v>
      </c>
      <c r="R19" s="61"/>
      <c r="S19" s="20"/>
      <c r="T19" s="20"/>
      <c r="U19" s="20">
        <f>M6-23000</f>
        <v>42000</v>
      </c>
      <c r="V19" s="75">
        <v>988150</v>
      </c>
      <c r="W19" s="20"/>
    </row>
    <row r="20" spans="2:26" x14ac:dyDescent="0.25">
      <c r="B20">
        <f>B19-B18</f>
        <v>82</v>
      </c>
      <c r="K20" s="1">
        <f>K19*11</f>
        <v>4180000</v>
      </c>
      <c r="L20" s="20"/>
      <c r="M20" s="84"/>
      <c r="N20" s="20"/>
      <c r="O20" s="20"/>
      <c r="P20" s="20"/>
      <c r="Q20" s="61" t="s">
        <v>40</v>
      </c>
      <c r="R20" s="61"/>
      <c r="S20" s="20">
        <f>S18+V19</f>
        <v>12861759.962499999</v>
      </c>
      <c r="T20" s="20"/>
      <c r="U20" s="20"/>
      <c r="V20" s="75">
        <f>V18+V19</f>
        <v>12571150</v>
      </c>
      <c r="W20" s="20">
        <f>V20+550000</f>
        <v>13121150</v>
      </c>
      <c r="Z20" s="1">
        <v>12843394</v>
      </c>
    </row>
    <row r="21" spans="2:26" x14ac:dyDescent="0.25">
      <c r="K21">
        <f>50000*11</f>
        <v>550000</v>
      </c>
      <c r="Q21" s="20"/>
      <c r="R21" s="20"/>
      <c r="S21" s="20"/>
      <c r="T21" s="20"/>
      <c r="U21" s="20"/>
      <c r="V21" s="76"/>
    </row>
    <row r="22" spans="2:26" x14ac:dyDescent="0.25">
      <c r="K22" s="20">
        <f>K20-K21</f>
        <v>3630000</v>
      </c>
      <c r="M22" s="81">
        <f>80550/11</f>
        <v>7322.727272727273</v>
      </c>
      <c r="V22" s="76">
        <v>12571400</v>
      </c>
      <c r="W22" s="20"/>
      <c r="Z22" s="2">
        <f>Z20-V20</f>
        <v>272244</v>
      </c>
    </row>
    <row r="23" spans="2:26" x14ac:dyDescent="0.25">
      <c r="K23" s="20">
        <f>K22/11</f>
        <v>330000</v>
      </c>
      <c r="L23" s="20"/>
      <c r="M23" s="84">
        <f>M22/5</f>
        <v>1464.5454545454545</v>
      </c>
      <c r="N23" s="20"/>
      <c r="O23" s="20"/>
      <c r="P23" s="20"/>
      <c r="V23" s="76"/>
    </row>
    <row r="24" spans="2:26" x14ac:dyDescent="0.25">
      <c r="K24" s="20">
        <f>K23/23</f>
        <v>14347.826086956522</v>
      </c>
      <c r="L24" s="20"/>
      <c r="M24" s="84"/>
      <c r="N24" s="20"/>
      <c r="O24" s="20"/>
      <c r="P24" s="20"/>
      <c r="V24" s="76">
        <f>V22-V20</f>
        <v>250</v>
      </c>
    </row>
    <row r="25" spans="2:26" x14ac:dyDescent="0.25">
      <c r="K25" s="20"/>
      <c r="L25" s="1"/>
      <c r="M25" s="85"/>
      <c r="N25" s="1"/>
      <c r="O25" s="1"/>
      <c r="P25" s="1"/>
    </row>
    <row r="27" spans="2:26" x14ac:dyDescent="0.25">
      <c r="M27" s="84"/>
      <c r="N27" s="20"/>
    </row>
    <row r="29" spans="2:26" x14ac:dyDescent="0.25">
      <c r="M29" s="84"/>
      <c r="N29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B62" workbookViewId="0">
      <selection activeCell="U80" sqref="U80"/>
    </sheetView>
  </sheetViews>
  <sheetFormatPr defaultRowHeight="12.75" x14ac:dyDescent="0.2"/>
  <cols>
    <col min="1" max="1" width="40.42578125" style="27" customWidth="1"/>
    <col min="2" max="2" width="48.28515625" style="186" customWidth="1"/>
    <col min="3" max="3" width="12.5703125" style="31" customWidth="1"/>
    <col min="4" max="4" width="11.42578125" style="29" customWidth="1"/>
    <col min="5" max="5" width="14.42578125" style="29" customWidth="1"/>
    <col min="6" max="7" width="11.42578125" style="29" customWidth="1"/>
    <col min="8" max="8" width="11.42578125" style="29" bestFit="1" customWidth="1"/>
    <col min="9" max="9" width="9.140625" style="29"/>
    <col min="10" max="10" width="12.140625" style="29" customWidth="1"/>
    <col min="11" max="16" width="9.140625" style="29"/>
    <col min="17" max="17" width="10" style="29" bestFit="1" customWidth="1"/>
    <col min="18" max="237" width="9.140625" style="29"/>
    <col min="238" max="238" width="3.7109375" style="29" customWidth="1"/>
    <col min="239" max="239" width="12.85546875" style="29" customWidth="1"/>
    <col min="240" max="240" width="37.5703125" style="29" bestFit="1" customWidth="1"/>
    <col min="241" max="241" width="13.85546875" style="29" customWidth="1"/>
    <col min="242" max="242" width="13" style="29" customWidth="1"/>
    <col min="243" max="243" width="13.42578125" style="29" customWidth="1"/>
    <col min="244" max="244" width="11.28515625" style="29" customWidth="1"/>
    <col min="245" max="245" width="20.85546875" style="29" bestFit="1" customWidth="1"/>
    <col min="246" max="246" width="13.28515625" style="29" customWidth="1"/>
    <col min="247" max="247" width="19.7109375" style="29" customWidth="1"/>
    <col min="248" max="248" width="11.5703125" style="29" customWidth="1"/>
    <col min="249" max="249" width="23.28515625" style="29" customWidth="1"/>
    <col min="250" max="250" width="15.5703125" style="29" customWidth="1"/>
    <col min="251" max="493" width="9.140625" style="29"/>
    <col min="494" max="494" width="3.7109375" style="29" customWidth="1"/>
    <col min="495" max="495" width="12.85546875" style="29" customWidth="1"/>
    <col min="496" max="496" width="37.5703125" style="29" bestFit="1" customWidth="1"/>
    <col min="497" max="497" width="13.85546875" style="29" customWidth="1"/>
    <col min="498" max="498" width="13" style="29" customWidth="1"/>
    <col min="499" max="499" width="13.42578125" style="29" customWidth="1"/>
    <col min="500" max="500" width="11.28515625" style="29" customWidth="1"/>
    <col min="501" max="501" width="20.85546875" style="29" bestFit="1" customWidth="1"/>
    <col min="502" max="502" width="13.28515625" style="29" customWidth="1"/>
    <col min="503" max="503" width="19.7109375" style="29" customWidth="1"/>
    <col min="504" max="504" width="11.5703125" style="29" customWidth="1"/>
    <col min="505" max="505" width="23.28515625" style="29" customWidth="1"/>
    <col min="506" max="506" width="15.5703125" style="29" customWidth="1"/>
    <col min="507" max="749" width="9.140625" style="29"/>
    <col min="750" max="750" width="3.7109375" style="29" customWidth="1"/>
    <col min="751" max="751" width="12.85546875" style="29" customWidth="1"/>
    <col min="752" max="752" width="37.5703125" style="29" bestFit="1" customWidth="1"/>
    <col min="753" max="753" width="13.85546875" style="29" customWidth="1"/>
    <col min="754" max="754" width="13" style="29" customWidth="1"/>
    <col min="755" max="755" width="13.42578125" style="29" customWidth="1"/>
    <col min="756" max="756" width="11.28515625" style="29" customWidth="1"/>
    <col min="757" max="757" width="20.85546875" style="29" bestFit="1" customWidth="1"/>
    <col min="758" max="758" width="13.28515625" style="29" customWidth="1"/>
    <col min="759" max="759" width="19.7109375" style="29" customWidth="1"/>
    <col min="760" max="760" width="11.5703125" style="29" customWidth="1"/>
    <col min="761" max="761" width="23.28515625" style="29" customWidth="1"/>
    <col min="762" max="762" width="15.5703125" style="29" customWidth="1"/>
    <col min="763" max="1005" width="9.140625" style="29"/>
    <col min="1006" max="1006" width="3.7109375" style="29" customWidth="1"/>
    <col min="1007" max="1007" width="12.85546875" style="29" customWidth="1"/>
    <col min="1008" max="1008" width="37.5703125" style="29" bestFit="1" customWidth="1"/>
    <col min="1009" max="1009" width="13.85546875" style="29" customWidth="1"/>
    <col min="1010" max="1010" width="13" style="29" customWidth="1"/>
    <col min="1011" max="1011" width="13.42578125" style="29" customWidth="1"/>
    <col min="1012" max="1012" width="11.28515625" style="29" customWidth="1"/>
    <col min="1013" max="1013" width="20.85546875" style="29" bestFit="1" customWidth="1"/>
    <col min="1014" max="1014" width="13.28515625" style="29" customWidth="1"/>
    <col min="1015" max="1015" width="19.7109375" style="29" customWidth="1"/>
    <col min="1016" max="1016" width="11.5703125" style="29" customWidth="1"/>
    <col min="1017" max="1017" width="23.28515625" style="29" customWidth="1"/>
    <col min="1018" max="1018" width="15.5703125" style="29" customWidth="1"/>
    <col min="1019" max="1261" width="9.140625" style="29"/>
    <col min="1262" max="1262" width="3.7109375" style="29" customWidth="1"/>
    <col min="1263" max="1263" width="12.85546875" style="29" customWidth="1"/>
    <col min="1264" max="1264" width="37.5703125" style="29" bestFit="1" customWidth="1"/>
    <col min="1265" max="1265" width="13.85546875" style="29" customWidth="1"/>
    <col min="1266" max="1266" width="13" style="29" customWidth="1"/>
    <col min="1267" max="1267" width="13.42578125" style="29" customWidth="1"/>
    <col min="1268" max="1268" width="11.28515625" style="29" customWidth="1"/>
    <col min="1269" max="1269" width="20.85546875" style="29" bestFit="1" customWidth="1"/>
    <col min="1270" max="1270" width="13.28515625" style="29" customWidth="1"/>
    <col min="1271" max="1271" width="19.7109375" style="29" customWidth="1"/>
    <col min="1272" max="1272" width="11.5703125" style="29" customWidth="1"/>
    <col min="1273" max="1273" width="23.28515625" style="29" customWidth="1"/>
    <col min="1274" max="1274" width="15.5703125" style="29" customWidth="1"/>
    <col min="1275" max="1517" width="9.140625" style="29"/>
    <col min="1518" max="1518" width="3.7109375" style="29" customWidth="1"/>
    <col min="1519" max="1519" width="12.85546875" style="29" customWidth="1"/>
    <col min="1520" max="1520" width="37.5703125" style="29" bestFit="1" customWidth="1"/>
    <col min="1521" max="1521" width="13.85546875" style="29" customWidth="1"/>
    <col min="1522" max="1522" width="13" style="29" customWidth="1"/>
    <col min="1523" max="1523" width="13.42578125" style="29" customWidth="1"/>
    <col min="1524" max="1524" width="11.28515625" style="29" customWidth="1"/>
    <col min="1525" max="1525" width="20.85546875" style="29" bestFit="1" customWidth="1"/>
    <col min="1526" max="1526" width="13.28515625" style="29" customWidth="1"/>
    <col min="1527" max="1527" width="19.7109375" style="29" customWidth="1"/>
    <col min="1528" max="1528" width="11.5703125" style="29" customWidth="1"/>
    <col min="1529" max="1529" width="23.28515625" style="29" customWidth="1"/>
    <col min="1530" max="1530" width="15.5703125" style="29" customWidth="1"/>
    <col min="1531" max="1773" width="9.140625" style="29"/>
    <col min="1774" max="1774" width="3.7109375" style="29" customWidth="1"/>
    <col min="1775" max="1775" width="12.85546875" style="29" customWidth="1"/>
    <col min="1776" max="1776" width="37.5703125" style="29" bestFit="1" customWidth="1"/>
    <col min="1777" max="1777" width="13.85546875" style="29" customWidth="1"/>
    <col min="1778" max="1778" width="13" style="29" customWidth="1"/>
    <col min="1779" max="1779" width="13.42578125" style="29" customWidth="1"/>
    <col min="1780" max="1780" width="11.28515625" style="29" customWidth="1"/>
    <col min="1781" max="1781" width="20.85546875" style="29" bestFit="1" customWidth="1"/>
    <col min="1782" max="1782" width="13.28515625" style="29" customWidth="1"/>
    <col min="1783" max="1783" width="19.7109375" style="29" customWidth="1"/>
    <col min="1784" max="1784" width="11.5703125" style="29" customWidth="1"/>
    <col min="1785" max="1785" width="23.28515625" style="29" customWidth="1"/>
    <col min="1786" max="1786" width="15.5703125" style="29" customWidth="1"/>
    <col min="1787" max="2029" width="9.140625" style="29"/>
    <col min="2030" max="2030" width="3.7109375" style="29" customWidth="1"/>
    <col min="2031" max="2031" width="12.85546875" style="29" customWidth="1"/>
    <col min="2032" max="2032" width="37.5703125" style="29" bestFit="1" customWidth="1"/>
    <col min="2033" max="2033" width="13.85546875" style="29" customWidth="1"/>
    <col min="2034" max="2034" width="13" style="29" customWidth="1"/>
    <col min="2035" max="2035" width="13.42578125" style="29" customWidth="1"/>
    <col min="2036" max="2036" width="11.28515625" style="29" customWidth="1"/>
    <col min="2037" max="2037" width="20.85546875" style="29" bestFit="1" customWidth="1"/>
    <col min="2038" max="2038" width="13.28515625" style="29" customWidth="1"/>
    <col min="2039" max="2039" width="19.7109375" style="29" customWidth="1"/>
    <col min="2040" max="2040" width="11.5703125" style="29" customWidth="1"/>
    <col min="2041" max="2041" width="23.28515625" style="29" customWidth="1"/>
    <col min="2042" max="2042" width="15.5703125" style="29" customWidth="1"/>
    <col min="2043" max="2285" width="9.140625" style="29"/>
    <col min="2286" max="2286" width="3.7109375" style="29" customWidth="1"/>
    <col min="2287" max="2287" width="12.85546875" style="29" customWidth="1"/>
    <col min="2288" max="2288" width="37.5703125" style="29" bestFit="1" customWidth="1"/>
    <col min="2289" max="2289" width="13.85546875" style="29" customWidth="1"/>
    <col min="2290" max="2290" width="13" style="29" customWidth="1"/>
    <col min="2291" max="2291" width="13.42578125" style="29" customWidth="1"/>
    <col min="2292" max="2292" width="11.28515625" style="29" customWidth="1"/>
    <col min="2293" max="2293" width="20.85546875" style="29" bestFit="1" customWidth="1"/>
    <col min="2294" max="2294" width="13.28515625" style="29" customWidth="1"/>
    <col min="2295" max="2295" width="19.7109375" style="29" customWidth="1"/>
    <col min="2296" max="2296" width="11.5703125" style="29" customWidth="1"/>
    <col min="2297" max="2297" width="23.28515625" style="29" customWidth="1"/>
    <col min="2298" max="2298" width="15.5703125" style="29" customWidth="1"/>
    <col min="2299" max="2541" width="9.140625" style="29"/>
    <col min="2542" max="2542" width="3.7109375" style="29" customWidth="1"/>
    <col min="2543" max="2543" width="12.85546875" style="29" customWidth="1"/>
    <col min="2544" max="2544" width="37.5703125" style="29" bestFit="1" customWidth="1"/>
    <col min="2545" max="2545" width="13.85546875" style="29" customWidth="1"/>
    <col min="2546" max="2546" width="13" style="29" customWidth="1"/>
    <col min="2547" max="2547" width="13.42578125" style="29" customWidth="1"/>
    <col min="2548" max="2548" width="11.28515625" style="29" customWidth="1"/>
    <col min="2549" max="2549" width="20.85546875" style="29" bestFit="1" customWidth="1"/>
    <col min="2550" max="2550" width="13.28515625" style="29" customWidth="1"/>
    <col min="2551" max="2551" width="19.7109375" style="29" customWidth="1"/>
    <col min="2552" max="2552" width="11.5703125" style="29" customWidth="1"/>
    <col min="2553" max="2553" width="23.28515625" style="29" customWidth="1"/>
    <col min="2554" max="2554" width="15.5703125" style="29" customWidth="1"/>
    <col min="2555" max="2797" width="9.140625" style="29"/>
    <col min="2798" max="2798" width="3.7109375" style="29" customWidth="1"/>
    <col min="2799" max="2799" width="12.85546875" style="29" customWidth="1"/>
    <col min="2800" max="2800" width="37.5703125" style="29" bestFit="1" customWidth="1"/>
    <col min="2801" max="2801" width="13.85546875" style="29" customWidth="1"/>
    <col min="2802" max="2802" width="13" style="29" customWidth="1"/>
    <col min="2803" max="2803" width="13.42578125" style="29" customWidth="1"/>
    <col min="2804" max="2804" width="11.28515625" style="29" customWidth="1"/>
    <col min="2805" max="2805" width="20.85546875" style="29" bestFit="1" customWidth="1"/>
    <col min="2806" max="2806" width="13.28515625" style="29" customWidth="1"/>
    <col min="2807" max="2807" width="19.7109375" style="29" customWidth="1"/>
    <col min="2808" max="2808" width="11.5703125" style="29" customWidth="1"/>
    <col min="2809" max="2809" width="23.28515625" style="29" customWidth="1"/>
    <col min="2810" max="2810" width="15.5703125" style="29" customWidth="1"/>
    <col min="2811" max="3053" width="9.140625" style="29"/>
    <col min="3054" max="3054" width="3.7109375" style="29" customWidth="1"/>
    <col min="3055" max="3055" width="12.85546875" style="29" customWidth="1"/>
    <col min="3056" max="3056" width="37.5703125" style="29" bestFit="1" customWidth="1"/>
    <col min="3057" max="3057" width="13.85546875" style="29" customWidth="1"/>
    <col min="3058" max="3058" width="13" style="29" customWidth="1"/>
    <col min="3059" max="3059" width="13.42578125" style="29" customWidth="1"/>
    <col min="3060" max="3060" width="11.28515625" style="29" customWidth="1"/>
    <col min="3061" max="3061" width="20.85546875" style="29" bestFit="1" customWidth="1"/>
    <col min="3062" max="3062" width="13.28515625" style="29" customWidth="1"/>
    <col min="3063" max="3063" width="19.7109375" style="29" customWidth="1"/>
    <col min="3064" max="3064" width="11.5703125" style="29" customWidth="1"/>
    <col min="3065" max="3065" width="23.28515625" style="29" customWidth="1"/>
    <col min="3066" max="3066" width="15.5703125" style="29" customWidth="1"/>
    <col min="3067" max="3309" width="9.140625" style="29"/>
    <col min="3310" max="3310" width="3.7109375" style="29" customWidth="1"/>
    <col min="3311" max="3311" width="12.85546875" style="29" customWidth="1"/>
    <col min="3312" max="3312" width="37.5703125" style="29" bestFit="1" customWidth="1"/>
    <col min="3313" max="3313" width="13.85546875" style="29" customWidth="1"/>
    <col min="3314" max="3314" width="13" style="29" customWidth="1"/>
    <col min="3315" max="3315" width="13.42578125" style="29" customWidth="1"/>
    <col min="3316" max="3316" width="11.28515625" style="29" customWidth="1"/>
    <col min="3317" max="3317" width="20.85546875" style="29" bestFit="1" customWidth="1"/>
    <col min="3318" max="3318" width="13.28515625" style="29" customWidth="1"/>
    <col min="3319" max="3319" width="19.7109375" style="29" customWidth="1"/>
    <col min="3320" max="3320" width="11.5703125" style="29" customWidth="1"/>
    <col min="3321" max="3321" width="23.28515625" style="29" customWidth="1"/>
    <col min="3322" max="3322" width="15.5703125" style="29" customWidth="1"/>
    <col min="3323" max="3565" width="9.140625" style="29"/>
    <col min="3566" max="3566" width="3.7109375" style="29" customWidth="1"/>
    <col min="3567" max="3567" width="12.85546875" style="29" customWidth="1"/>
    <col min="3568" max="3568" width="37.5703125" style="29" bestFit="1" customWidth="1"/>
    <col min="3569" max="3569" width="13.85546875" style="29" customWidth="1"/>
    <col min="3570" max="3570" width="13" style="29" customWidth="1"/>
    <col min="3571" max="3571" width="13.42578125" style="29" customWidth="1"/>
    <col min="3572" max="3572" width="11.28515625" style="29" customWidth="1"/>
    <col min="3573" max="3573" width="20.85546875" style="29" bestFit="1" customWidth="1"/>
    <col min="3574" max="3574" width="13.28515625" style="29" customWidth="1"/>
    <col min="3575" max="3575" width="19.7109375" style="29" customWidth="1"/>
    <col min="3576" max="3576" width="11.5703125" style="29" customWidth="1"/>
    <col min="3577" max="3577" width="23.28515625" style="29" customWidth="1"/>
    <col min="3578" max="3578" width="15.5703125" style="29" customWidth="1"/>
    <col min="3579" max="3821" width="9.140625" style="29"/>
    <col min="3822" max="3822" width="3.7109375" style="29" customWidth="1"/>
    <col min="3823" max="3823" width="12.85546875" style="29" customWidth="1"/>
    <col min="3824" max="3824" width="37.5703125" style="29" bestFit="1" customWidth="1"/>
    <col min="3825" max="3825" width="13.85546875" style="29" customWidth="1"/>
    <col min="3826" max="3826" width="13" style="29" customWidth="1"/>
    <col min="3827" max="3827" width="13.42578125" style="29" customWidth="1"/>
    <col min="3828" max="3828" width="11.28515625" style="29" customWidth="1"/>
    <col min="3829" max="3829" width="20.85546875" style="29" bestFit="1" customWidth="1"/>
    <col min="3830" max="3830" width="13.28515625" style="29" customWidth="1"/>
    <col min="3831" max="3831" width="19.7109375" style="29" customWidth="1"/>
    <col min="3832" max="3832" width="11.5703125" style="29" customWidth="1"/>
    <col min="3833" max="3833" width="23.28515625" style="29" customWidth="1"/>
    <col min="3834" max="3834" width="15.5703125" style="29" customWidth="1"/>
    <col min="3835" max="4077" width="9.140625" style="29"/>
    <col min="4078" max="4078" width="3.7109375" style="29" customWidth="1"/>
    <col min="4079" max="4079" width="12.85546875" style="29" customWidth="1"/>
    <col min="4080" max="4080" width="37.5703125" style="29" bestFit="1" customWidth="1"/>
    <col min="4081" max="4081" width="13.85546875" style="29" customWidth="1"/>
    <col min="4082" max="4082" width="13" style="29" customWidth="1"/>
    <col min="4083" max="4083" width="13.42578125" style="29" customWidth="1"/>
    <col min="4084" max="4084" width="11.28515625" style="29" customWidth="1"/>
    <col min="4085" max="4085" width="20.85546875" style="29" bestFit="1" customWidth="1"/>
    <col min="4086" max="4086" width="13.28515625" style="29" customWidth="1"/>
    <col min="4087" max="4087" width="19.7109375" style="29" customWidth="1"/>
    <col min="4088" max="4088" width="11.5703125" style="29" customWidth="1"/>
    <col min="4089" max="4089" width="23.28515625" style="29" customWidth="1"/>
    <col min="4090" max="4090" width="15.5703125" style="29" customWidth="1"/>
    <col min="4091" max="4333" width="9.140625" style="29"/>
    <col min="4334" max="4334" width="3.7109375" style="29" customWidth="1"/>
    <col min="4335" max="4335" width="12.85546875" style="29" customWidth="1"/>
    <col min="4336" max="4336" width="37.5703125" style="29" bestFit="1" customWidth="1"/>
    <col min="4337" max="4337" width="13.85546875" style="29" customWidth="1"/>
    <col min="4338" max="4338" width="13" style="29" customWidth="1"/>
    <col min="4339" max="4339" width="13.42578125" style="29" customWidth="1"/>
    <col min="4340" max="4340" width="11.28515625" style="29" customWidth="1"/>
    <col min="4341" max="4341" width="20.85546875" style="29" bestFit="1" customWidth="1"/>
    <col min="4342" max="4342" width="13.28515625" style="29" customWidth="1"/>
    <col min="4343" max="4343" width="19.7109375" style="29" customWidth="1"/>
    <col min="4344" max="4344" width="11.5703125" style="29" customWidth="1"/>
    <col min="4345" max="4345" width="23.28515625" style="29" customWidth="1"/>
    <col min="4346" max="4346" width="15.5703125" style="29" customWidth="1"/>
    <col min="4347" max="4589" width="9.140625" style="29"/>
    <col min="4590" max="4590" width="3.7109375" style="29" customWidth="1"/>
    <col min="4591" max="4591" width="12.85546875" style="29" customWidth="1"/>
    <col min="4592" max="4592" width="37.5703125" style="29" bestFit="1" customWidth="1"/>
    <col min="4593" max="4593" width="13.85546875" style="29" customWidth="1"/>
    <col min="4594" max="4594" width="13" style="29" customWidth="1"/>
    <col min="4595" max="4595" width="13.42578125" style="29" customWidth="1"/>
    <col min="4596" max="4596" width="11.28515625" style="29" customWidth="1"/>
    <col min="4597" max="4597" width="20.85546875" style="29" bestFit="1" customWidth="1"/>
    <col min="4598" max="4598" width="13.28515625" style="29" customWidth="1"/>
    <col min="4599" max="4599" width="19.7109375" style="29" customWidth="1"/>
    <col min="4600" max="4600" width="11.5703125" style="29" customWidth="1"/>
    <col min="4601" max="4601" width="23.28515625" style="29" customWidth="1"/>
    <col min="4602" max="4602" width="15.5703125" style="29" customWidth="1"/>
    <col min="4603" max="4845" width="9.140625" style="29"/>
    <col min="4846" max="4846" width="3.7109375" style="29" customWidth="1"/>
    <col min="4847" max="4847" width="12.85546875" style="29" customWidth="1"/>
    <col min="4848" max="4848" width="37.5703125" style="29" bestFit="1" customWidth="1"/>
    <col min="4849" max="4849" width="13.85546875" style="29" customWidth="1"/>
    <col min="4850" max="4850" width="13" style="29" customWidth="1"/>
    <col min="4851" max="4851" width="13.42578125" style="29" customWidth="1"/>
    <col min="4852" max="4852" width="11.28515625" style="29" customWidth="1"/>
    <col min="4853" max="4853" width="20.85546875" style="29" bestFit="1" customWidth="1"/>
    <col min="4854" max="4854" width="13.28515625" style="29" customWidth="1"/>
    <col min="4855" max="4855" width="19.7109375" style="29" customWidth="1"/>
    <col min="4856" max="4856" width="11.5703125" style="29" customWidth="1"/>
    <col min="4857" max="4857" width="23.28515625" style="29" customWidth="1"/>
    <col min="4858" max="4858" width="15.5703125" style="29" customWidth="1"/>
    <col min="4859" max="5101" width="9.140625" style="29"/>
    <col min="5102" max="5102" width="3.7109375" style="29" customWidth="1"/>
    <col min="5103" max="5103" width="12.85546875" style="29" customWidth="1"/>
    <col min="5104" max="5104" width="37.5703125" style="29" bestFit="1" customWidth="1"/>
    <col min="5105" max="5105" width="13.85546875" style="29" customWidth="1"/>
    <col min="5106" max="5106" width="13" style="29" customWidth="1"/>
    <col min="5107" max="5107" width="13.42578125" style="29" customWidth="1"/>
    <col min="5108" max="5108" width="11.28515625" style="29" customWidth="1"/>
    <col min="5109" max="5109" width="20.85546875" style="29" bestFit="1" customWidth="1"/>
    <col min="5110" max="5110" width="13.28515625" style="29" customWidth="1"/>
    <col min="5111" max="5111" width="19.7109375" style="29" customWidth="1"/>
    <col min="5112" max="5112" width="11.5703125" style="29" customWidth="1"/>
    <col min="5113" max="5113" width="23.28515625" style="29" customWidth="1"/>
    <col min="5114" max="5114" width="15.5703125" style="29" customWidth="1"/>
    <col min="5115" max="5357" width="9.140625" style="29"/>
    <col min="5358" max="5358" width="3.7109375" style="29" customWidth="1"/>
    <col min="5359" max="5359" width="12.85546875" style="29" customWidth="1"/>
    <col min="5360" max="5360" width="37.5703125" style="29" bestFit="1" customWidth="1"/>
    <col min="5361" max="5361" width="13.85546875" style="29" customWidth="1"/>
    <col min="5362" max="5362" width="13" style="29" customWidth="1"/>
    <col min="5363" max="5363" width="13.42578125" style="29" customWidth="1"/>
    <col min="5364" max="5364" width="11.28515625" style="29" customWidth="1"/>
    <col min="5365" max="5365" width="20.85546875" style="29" bestFit="1" customWidth="1"/>
    <col min="5366" max="5366" width="13.28515625" style="29" customWidth="1"/>
    <col min="5367" max="5367" width="19.7109375" style="29" customWidth="1"/>
    <col min="5368" max="5368" width="11.5703125" style="29" customWidth="1"/>
    <col min="5369" max="5369" width="23.28515625" style="29" customWidth="1"/>
    <col min="5370" max="5370" width="15.5703125" style="29" customWidth="1"/>
    <col min="5371" max="5613" width="9.140625" style="29"/>
    <col min="5614" max="5614" width="3.7109375" style="29" customWidth="1"/>
    <col min="5615" max="5615" width="12.85546875" style="29" customWidth="1"/>
    <col min="5616" max="5616" width="37.5703125" style="29" bestFit="1" customWidth="1"/>
    <col min="5617" max="5617" width="13.85546875" style="29" customWidth="1"/>
    <col min="5618" max="5618" width="13" style="29" customWidth="1"/>
    <col min="5619" max="5619" width="13.42578125" style="29" customWidth="1"/>
    <col min="5620" max="5620" width="11.28515625" style="29" customWidth="1"/>
    <col min="5621" max="5621" width="20.85546875" style="29" bestFit="1" customWidth="1"/>
    <col min="5622" max="5622" width="13.28515625" style="29" customWidth="1"/>
    <col min="5623" max="5623" width="19.7109375" style="29" customWidth="1"/>
    <col min="5624" max="5624" width="11.5703125" style="29" customWidth="1"/>
    <col min="5625" max="5625" width="23.28515625" style="29" customWidth="1"/>
    <col min="5626" max="5626" width="15.5703125" style="29" customWidth="1"/>
    <col min="5627" max="5869" width="9.140625" style="29"/>
    <col min="5870" max="5870" width="3.7109375" style="29" customWidth="1"/>
    <col min="5871" max="5871" width="12.85546875" style="29" customWidth="1"/>
    <col min="5872" max="5872" width="37.5703125" style="29" bestFit="1" customWidth="1"/>
    <col min="5873" max="5873" width="13.85546875" style="29" customWidth="1"/>
    <col min="5874" max="5874" width="13" style="29" customWidth="1"/>
    <col min="5875" max="5875" width="13.42578125" style="29" customWidth="1"/>
    <col min="5876" max="5876" width="11.28515625" style="29" customWidth="1"/>
    <col min="5877" max="5877" width="20.85546875" style="29" bestFit="1" customWidth="1"/>
    <col min="5878" max="5878" width="13.28515625" style="29" customWidth="1"/>
    <col min="5879" max="5879" width="19.7109375" style="29" customWidth="1"/>
    <col min="5880" max="5880" width="11.5703125" style="29" customWidth="1"/>
    <col min="5881" max="5881" width="23.28515625" style="29" customWidth="1"/>
    <col min="5882" max="5882" width="15.5703125" style="29" customWidth="1"/>
    <col min="5883" max="6125" width="9.140625" style="29"/>
    <col min="6126" max="6126" width="3.7109375" style="29" customWidth="1"/>
    <col min="6127" max="6127" width="12.85546875" style="29" customWidth="1"/>
    <col min="6128" max="6128" width="37.5703125" style="29" bestFit="1" customWidth="1"/>
    <col min="6129" max="6129" width="13.85546875" style="29" customWidth="1"/>
    <col min="6130" max="6130" width="13" style="29" customWidth="1"/>
    <col min="6131" max="6131" width="13.42578125" style="29" customWidth="1"/>
    <col min="6132" max="6132" width="11.28515625" style="29" customWidth="1"/>
    <col min="6133" max="6133" width="20.85546875" style="29" bestFit="1" customWidth="1"/>
    <col min="6134" max="6134" width="13.28515625" style="29" customWidth="1"/>
    <col min="6135" max="6135" width="19.7109375" style="29" customWidth="1"/>
    <col min="6136" max="6136" width="11.5703125" style="29" customWidth="1"/>
    <col min="6137" max="6137" width="23.28515625" style="29" customWidth="1"/>
    <col min="6138" max="6138" width="15.5703125" style="29" customWidth="1"/>
    <col min="6139" max="6381" width="9.140625" style="29"/>
    <col min="6382" max="6382" width="3.7109375" style="29" customWidth="1"/>
    <col min="6383" max="6383" width="12.85546875" style="29" customWidth="1"/>
    <col min="6384" max="6384" width="37.5703125" style="29" bestFit="1" customWidth="1"/>
    <col min="6385" max="6385" width="13.85546875" style="29" customWidth="1"/>
    <col min="6386" max="6386" width="13" style="29" customWidth="1"/>
    <col min="6387" max="6387" width="13.42578125" style="29" customWidth="1"/>
    <col min="6388" max="6388" width="11.28515625" style="29" customWidth="1"/>
    <col min="6389" max="6389" width="20.85546875" style="29" bestFit="1" customWidth="1"/>
    <col min="6390" max="6390" width="13.28515625" style="29" customWidth="1"/>
    <col min="6391" max="6391" width="19.7109375" style="29" customWidth="1"/>
    <col min="6392" max="6392" width="11.5703125" style="29" customWidth="1"/>
    <col min="6393" max="6393" width="23.28515625" style="29" customWidth="1"/>
    <col min="6394" max="6394" width="15.5703125" style="29" customWidth="1"/>
    <col min="6395" max="6637" width="9.140625" style="29"/>
    <col min="6638" max="6638" width="3.7109375" style="29" customWidth="1"/>
    <col min="6639" max="6639" width="12.85546875" style="29" customWidth="1"/>
    <col min="6640" max="6640" width="37.5703125" style="29" bestFit="1" customWidth="1"/>
    <col min="6641" max="6641" width="13.85546875" style="29" customWidth="1"/>
    <col min="6642" max="6642" width="13" style="29" customWidth="1"/>
    <col min="6643" max="6643" width="13.42578125" style="29" customWidth="1"/>
    <col min="6644" max="6644" width="11.28515625" style="29" customWidth="1"/>
    <col min="6645" max="6645" width="20.85546875" style="29" bestFit="1" customWidth="1"/>
    <col min="6646" max="6646" width="13.28515625" style="29" customWidth="1"/>
    <col min="6647" max="6647" width="19.7109375" style="29" customWidth="1"/>
    <col min="6648" max="6648" width="11.5703125" style="29" customWidth="1"/>
    <col min="6649" max="6649" width="23.28515625" style="29" customWidth="1"/>
    <col min="6650" max="6650" width="15.5703125" style="29" customWidth="1"/>
    <col min="6651" max="6893" width="9.140625" style="29"/>
    <col min="6894" max="6894" width="3.7109375" style="29" customWidth="1"/>
    <col min="6895" max="6895" width="12.85546875" style="29" customWidth="1"/>
    <col min="6896" max="6896" width="37.5703125" style="29" bestFit="1" customWidth="1"/>
    <col min="6897" max="6897" width="13.85546875" style="29" customWidth="1"/>
    <col min="6898" max="6898" width="13" style="29" customWidth="1"/>
    <col min="6899" max="6899" width="13.42578125" style="29" customWidth="1"/>
    <col min="6900" max="6900" width="11.28515625" style="29" customWidth="1"/>
    <col min="6901" max="6901" width="20.85546875" style="29" bestFit="1" customWidth="1"/>
    <col min="6902" max="6902" width="13.28515625" style="29" customWidth="1"/>
    <col min="6903" max="6903" width="19.7109375" style="29" customWidth="1"/>
    <col min="6904" max="6904" width="11.5703125" style="29" customWidth="1"/>
    <col min="6905" max="6905" width="23.28515625" style="29" customWidth="1"/>
    <col min="6906" max="6906" width="15.5703125" style="29" customWidth="1"/>
    <col min="6907" max="7149" width="9.140625" style="29"/>
    <col min="7150" max="7150" width="3.7109375" style="29" customWidth="1"/>
    <col min="7151" max="7151" width="12.85546875" style="29" customWidth="1"/>
    <col min="7152" max="7152" width="37.5703125" style="29" bestFit="1" customWidth="1"/>
    <col min="7153" max="7153" width="13.85546875" style="29" customWidth="1"/>
    <col min="7154" max="7154" width="13" style="29" customWidth="1"/>
    <col min="7155" max="7155" width="13.42578125" style="29" customWidth="1"/>
    <col min="7156" max="7156" width="11.28515625" style="29" customWidth="1"/>
    <col min="7157" max="7157" width="20.85546875" style="29" bestFit="1" customWidth="1"/>
    <col min="7158" max="7158" width="13.28515625" style="29" customWidth="1"/>
    <col min="7159" max="7159" width="19.7109375" style="29" customWidth="1"/>
    <col min="7160" max="7160" width="11.5703125" style="29" customWidth="1"/>
    <col min="7161" max="7161" width="23.28515625" style="29" customWidth="1"/>
    <col min="7162" max="7162" width="15.5703125" style="29" customWidth="1"/>
    <col min="7163" max="7405" width="9.140625" style="29"/>
    <col min="7406" max="7406" width="3.7109375" style="29" customWidth="1"/>
    <col min="7407" max="7407" width="12.85546875" style="29" customWidth="1"/>
    <col min="7408" max="7408" width="37.5703125" style="29" bestFit="1" customWidth="1"/>
    <col min="7409" max="7409" width="13.85546875" style="29" customWidth="1"/>
    <col min="7410" max="7410" width="13" style="29" customWidth="1"/>
    <col min="7411" max="7411" width="13.42578125" style="29" customWidth="1"/>
    <col min="7412" max="7412" width="11.28515625" style="29" customWidth="1"/>
    <col min="7413" max="7413" width="20.85546875" style="29" bestFit="1" customWidth="1"/>
    <col min="7414" max="7414" width="13.28515625" style="29" customWidth="1"/>
    <col min="7415" max="7415" width="19.7109375" style="29" customWidth="1"/>
    <col min="7416" max="7416" width="11.5703125" style="29" customWidth="1"/>
    <col min="7417" max="7417" width="23.28515625" style="29" customWidth="1"/>
    <col min="7418" max="7418" width="15.5703125" style="29" customWidth="1"/>
    <col min="7419" max="7661" width="9.140625" style="29"/>
    <col min="7662" max="7662" width="3.7109375" style="29" customWidth="1"/>
    <col min="7663" max="7663" width="12.85546875" style="29" customWidth="1"/>
    <col min="7664" max="7664" width="37.5703125" style="29" bestFit="1" customWidth="1"/>
    <col min="7665" max="7665" width="13.85546875" style="29" customWidth="1"/>
    <col min="7666" max="7666" width="13" style="29" customWidth="1"/>
    <col min="7667" max="7667" width="13.42578125" style="29" customWidth="1"/>
    <col min="7668" max="7668" width="11.28515625" style="29" customWidth="1"/>
    <col min="7669" max="7669" width="20.85546875" style="29" bestFit="1" customWidth="1"/>
    <col min="7670" max="7670" width="13.28515625" style="29" customWidth="1"/>
    <col min="7671" max="7671" width="19.7109375" style="29" customWidth="1"/>
    <col min="7672" max="7672" width="11.5703125" style="29" customWidth="1"/>
    <col min="7673" max="7673" width="23.28515625" style="29" customWidth="1"/>
    <col min="7674" max="7674" width="15.5703125" style="29" customWidth="1"/>
    <col min="7675" max="7917" width="9.140625" style="29"/>
    <col min="7918" max="7918" width="3.7109375" style="29" customWidth="1"/>
    <col min="7919" max="7919" width="12.85546875" style="29" customWidth="1"/>
    <col min="7920" max="7920" width="37.5703125" style="29" bestFit="1" customWidth="1"/>
    <col min="7921" max="7921" width="13.85546875" style="29" customWidth="1"/>
    <col min="7922" max="7922" width="13" style="29" customWidth="1"/>
    <col min="7923" max="7923" width="13.42578125" style="29" customWidth="1"/>
    <col min="7924" max="7924" width="11.28515625" style="29" customWidth="1"/>
    <col min="7925" max="7925" width="20.85546875" style="29" bestFit="1" customWidth="1"/>
    <col min="7926" max="7926" width="13.28515625" style="29" customWidth="1"/>
    <col min="7927" max="7927" width="19.7109375" style="29" customWidth="1"/>
    <col min="7928" max="7928" width="11.5703125" style="29" customWidth="1"/>
    <col min="7929" max="7929" width="23.28515625" style="29" customWidth="1"/>
    <col min="7930" max="7930" width="15.5703125" style="29" customWidth="1"/>
    <col min="7931" max="8173" width="9.140625" style="29"/>
    <col min="8174" max="8174" width="3.7109375" style="29" customWidth="1"/>
    <col min="8175" max="8175" width="12.85546875" style="29" customWidth="1"/>
    <col min="8176" max="8176" width="37.5703125" style="29" bestFit="1" customWidth="1"/>
    <col min="8177" max="8177" width="13.85546875" style="29" customWidth="1"/>
    <col min="8178" max="8178" width="13" style="29" customWidth="1"/>
    <col min="8179" max="8179" width="13.42578125" style="29" customWidth="1"/>
    <col min="8180" max="8180" width="11.28515625" style="29" customWidth="1"/>
    <col min="8181" max="8181" width="20.85546875" style="29" bestFit="1" customWidth="1"/>
    <col min="8182" max="8182" width="13.28515625" style="29" customWidth="1"/>
    <col min="8183" max="8183" width="19.7109375" style="29" customWidth="1"/>
    <col min="8184" max="8184" width="11.5703125" style="29" customWidth="1"/>
    <col min="8185" max="8185" width="23.28515625" style="29" customWidth="1"/>
    <col min="8186" max="8186" width="15.5703125" style="29" customWidth="1"/>
    <col min="8187" max="8429" width="9.140625" style="29"/>
    <col min="8430" max="8430" width="3.7109375" style="29" customWidth="1"/>
    <col min="8431" max="8431" width="12.85546875" style="29" customWidth="1"/>
    <col min="8432" max="8432" width="37.5703125" style="29" bestFit="1" customWidth="1"/>
    <col min="8433" max="8433" width="13.85546875" style="29" customWidth="1"/>
    <col min="8434" max="8434" width="13" style="29" customWidth="1"/>
    <col min="8435" max="8435" width="13.42578125" style="29" customWidth="1"/>
    <col min="8436" max="8436" width="11.28515625" style="29" customWidth="1"/>
    <col min="8437" max="8437" width="20.85546875" style="29" bestFit="1" customWidth="1"/>
    <col min="8438" max="8438" width="13.28515625" style="29" customWidth="1"/>
    <col min="8439" max="8439" width="19.7109375" style="29" customWidth="1"/>
    <col min="8440" max="8440" width="11.5703125" style="29" customWidth="1"/>
    <col min="8441" max="8441" width="23.28515625" style="29" customWidth="1"/>
    <col min="8442" max="8442" width="15.5703125" style="29" customWidth="1"/>
    <col min="8443" max="8685" width="9.140625" style="29"/>
    <col min="8686" max="8686" width="3.7109375" style="29" customWidth="1"/>
    <col min="8687" max="8687" width="12.85546875" style="29" customWidth="1"/>
    <col min="8688" max="8688" width="37.5703125" style="29" bestFit="1" customWidth="1"/>
    <col min="8689" max="8689" width="13.85546875" style="29" customWidth="1"/>
    <col min="8690" max="8690" width="13" style="29" customWidth="1"/>
    <col min="8691" max="8691" width="13.42578125" style="29" customWidth="1"/>
    <col min="8692" max="8692" width="11.28515625" style="29" customWidth="1"/>
    <col min="8693" max="8693" width="20.85546875" style="29" bestFit="1" customWidth="1"/>
    <col min="8694" max="8694" width="13.28515625" style="29" customWidth="1"/>
    <col min="8695" max="8695" width="19.7109375" style="29" customWidth="1"/>
    <col min="8696" max="8696" width="11.5703125" style="29" customWidth="1"/>
    <col min="8697" max="8697" width="23.28515625" style="29" customWidth="1"/>
    <col min="8698" max="8698" width="15.5703125" style="29" customWidth="1"/>
    <col min="8699" max="8941" width="9.140625" style="29"/>
    <col min="8942" max="8942" width="3.7109375" style="29" customWidth="1"/>
    <col min="8943" max="8943" width="12.85546875" style="29" customWidth="1"/>
    <col min="8944" max="8944" width="37.5703125" style="29" bestFit="1" customWidth="1"/>
    <col min="8945" max="8945" width="13.85546875" style="29" customWidth="1"/>
    <col min="8946" max="8946" width="13" style="29" customWidth="1"/>
    <col min="8947" max="8947" width="13.42578125" style="29" customWidth="1"/>
    <col min="8948" max="8948" width="11.28515625" style="29" customWidth="1"/>
    <col min="8949" max="8949" width="20.85546875" style="29" bestFit="1" customWidth="1"/>
    <col min="8950" max="8950" width="13.28515625" style="29" customWidth="1"/>
    <col min="8951" max="8951" width="19.7109375" style="29" customWidth="1"/>
    <col min="8952" max="8952" width="11.5703125" style="29" customWidth="1"/>
    <col min="8953" max="8953" width="23.28515625" style="29" customWidth="1"/>
    <col min="8954" max="8954" width="15.5703125" style="29" customWidth="1"/>
    <col min="8955" max="9197" width="9.140625" style="29"/>
    <col min="9198" max="9198" width="3.7109375" style="29" customWidth="1"/>
    <col min="9199" max="9199" width="12.85546875" style="29" customWidth="1"/>
    <col min="9200" max="9200" width="37.5703125" style="29" bestFit="1" customWidth="1"/>
    <col min="9201" max="9201" width="13.85546875" style="29" customWidth="1"/>
    <col min="9202" max="9202" width="13" style="29" customWidth="1"/>
    <col min="9203" max="9203" width="13.42578125" style="29" customWidth="1"/>
    <col min="9204" max="9204" width="11.28515625" style="29" customWidth="1"/>
    <col min="9205" max="9205" width="20.85546875" style="29" bestFit="1" customWidth="1"/>
    <col min="9206" max="9206" width="13.28515625" style="29" customWidth="1"/>
    <col min="9207" max="9207" width="19.7109375" style="29" customWidth="1"/>
    <col min="9208" max="9208" width="11.5703125" style="29" customWidth="1"/>
    <col min="9209" max="9209" width="23.28515625" style="29" customWidth="1"/>
    <col min="9210" max="9210" width="15.5703125" style="29" customWidth="1"/>
    <col min="9211" max="9453" width="9.140625" style="29"/>
    <col min="9454" max="9454" width="3.7109375" style="29" customWidth="1"/>
    <col min="9455" max="9455" width="12.85546875" style="29" customWidth="1"/>
    <col min="9456" max="9456" width="37.5703125" style="29" bestFit="1" customWidth="1"/>
    <col min="9457" max="9457" width="13.85546875" style="29" customWidth="1"/>
    <col min="9458" max="9458" width="13" style="29" customWidth="1"/>
    <col min="9459" max="9459" width="13.42578125" style="29" customWidth="1"/>
    <col min="9460" max="9460" width="11.28515625" style="29" customWidth="1"/>
    <col min="9461" max="9461" width="20.85546875" style="29" bestFit="1" customWidth="1"/>
    <col min="9462" max="9462" width="13.28515625" style="29" customWidth="1"/>
    <col min="9463" max="9463" width="19.7109375" style="29" customWidth="1"/>
    <col min="9464" max="9464" width="11.5703125" style="29" customWidth="1"/>
    <col min="9465" max="9465" width="23.28515625" style="29" customWidth="1"/>
    <col min="9466" max="9466" width="15.5703125" style="29" customWidth="1"/>
    <col min="9467" max="9709" width="9.140625" style="29"/>
    <col min="9710" max="9710" width="3.7109375" style="29" customWidth="1"/>
    <col min="9711" max="9711" width="12.85546875" style="29" customWidth="1"/>
    <col min="9712" max="9712" width="37.5703125" style="29" bestFit="1" customWidth="1"/>
    <col min="9713" max="9713" width="13.85546875" style="29" customWidth="1"/>
    <col min="9714" max="9714" width="13" style="29" customWidth="1"/>
    <col min="9715" max="9715" width="13.42578125" style="29" customWidth="1"/>
    <col min="9716" max="9716" width="11.28515625" style="29" customWidth="1"/>
    <col min="9717" max="9717" width="20.85546875" style="29" bestFit="1" customWidth="1"/>
    <col min="9718" max="9718" width="13.28515625" style="29" customWidth="1"/>
    <col min="9719" max="9719" width="19.7109375" style="29" customWidth="1"/>
    <col min="9720" max="9720" width="11.5703125" style="29" customWidth="1"/>
    <col min="9721" max="9721" width="23.28515625" style="29" customWidth="1"/>
    <col min="9722" max="9722" width="15.5703125" style="29" customWidth="1"/>
    <col min="9723" max="9965" width="9.140625" style="29"/>
    <col min="9966" max="9966" width="3.7109375" style="29" customWidth="1"/>
    <col min="9967" max="9967" width="12.85546875" style="29" customWidth="1"/>
    <col min="9968" max="9968" width="37.5703125" style="29" bestFit="1" customWidth="1"/>
    <col min="9969" max="9969" width="13.85546875" style="29" customWidth="1"/>
    <col min="9970" max="9970" width="13" style="29" customWidth="1"/>
    <col min="9971" max="9971" width="13.42578125" style="29" customWidth="1"/>
    <col min="9972" max="9972" width="11.28515625" style="29" customWidth="1"/>
    <col min="9973" max="9973" width="20.85546875" style="29" bestFit="1" customWidth="1"/>
    <col min="9974" max="9974" width="13.28515625" style="29" customWidth="1"/>
    <col min="9975" max="9975" width="19.7109375" style="29" customWidth="1"/>
    <col min="9976" max="9976" width="11.5703125" style="29" customWidth="1"/>
    <col min="9977" max="9977" width="23.28515625" style="29" customWidth="1"/>
    <col min="9978" max="9978" width="15.5703125" style="29" customWidth="1"/>
    <col min="9979" max="10221" width="9.140625" style="29"/>
    <col min="10222" max="10222" width="3.7109375" style="29" customWidth="1"/>
    <col min="10223" max="10223" width="12.85546875" style="29" customWidth="1"/>
    <col min="10224" max="10224" width="37.5703125" style="29" bestFit="1" customWidth="1"/>
    <col min="10225" max="10225" width="13.85546875" style="29" customWidth="1"/>
    <col min="10226" max="10226" width="13" style="29" customWidth="1"/>
    <col min="10227" max="10227" width="13.42578125" style="29" customWidth="1"/>
    <col min="10228" max="10228" width="11.28515625" style="29" customWidth="1"/>
    <col min="10229" max="10229" width="20.85546875" style="29" bestFit="1" customWidth="1"/>
    <col min="10230" max="10230" width="13.28515625" style="29" customWidth="1"/>
    <col min="10231" max="10231" width="19.7109375" style="29" customWidth="1"/>
    <col min="10232" max="10232" width="11.5703125" style="29" customWidth="1"/>
    <col min="10233" max="10233" width="23.28515625" style="29" customWidth="1"/>
    <col min="10234" max="10234" width="15.5703125" style="29" customWidth="1"/>
    <col min="10235" max="10477" width="9.140625" style="29"/>
    <col min="10478" max="10478" width="3.7109375" style="29" customWidth="1"/>
    <col min="10479" max="10479" width="12.85546875" style="29" customWidth="1"/>
    <col min="10480" max="10480" width="37.5703125" style="29" bestFit="1" customWidth="1"/>
    <col min="10481" max="10481" width="13.85546875" style="29" customWidth="1"/>
    <col min="10482" max="10482" width="13" style="29" customWidth="1"/>
    <col min="10483" max="10483" width="13.42578125" style="29" customWidth="1"/>
    <col min="10484" max="10484" width="11.28515625" style="29" customWidth="1"/>
    <col min="10485" max="10485" width="20.85546875" style="29" bestFit="1" customWidth="1"/>
    <col min="10486" max="10486" width="13.28515625" style="29" customWidth="1"/>
    <col min="10487" max="10487" width="19.7109375" style="29" customWidth="1"/>
    <col min="10488" max="10488" width="11.5703125" style="29" customWidth="1"/>
    <col min="10489" max="10489" width="23.28515625" style="29" customWidth="1"/>
    <col min="10490" max="10490" width="15.5703125" style="29" customWidth="1"/>
    <col min="10491" max="10733" width="9.140625" style="29"/>
    <col min="10734" max="10734" width="3.7109375" style="29" customWidth="1"/>
    <col min="10735" max="10735" width="12.85546875" style="29" customWidth="1"/>
    <col min="10736" max="10736" width="37.5703125" style="29" bestFit="1" customWidth="1"/>
    <col min="10737" max="10737" width="13.85546875" style="29" customWidth="1"/>
    <col min="10738" max="10738" width="13" style="29" customWidth="1"/>
    <col min="10739" max="10739" width="13.42578125" style="29" customWidth="1"/>
    <col min="10740" max="10740" width="11.28515625" style="29" customWidth="1"/>
    <col min="10741" max="10741" width="20.85546875" style="29" bestFit="1" customWidth="1"/>
    <col min="10742" max="10742" width="13.28515625" style="29" customWidth="1"/>
    <col min="10743" max="10743" width="19.7109375" style="29" customWidth="1"/>
    <col min="10744" max="10744" width="11.5703125" style="29" customWidth="1"/>
    <col min="10745" max="10745" width="23.28515625" style="29" customWidth="1"/>
    <col min="10746" max="10746" width="15.5703125" style="29" customWidth="1"/>
    <col min="10747" max="10989" width="9.140625" style="29"/>
    <col min="10990" max="10990" width="3.7109375" style="29" customWidth="1"/>
    <col min="10991" max="10991" width="12.85546875" style="29" customWidth="1"/>
    <col min="10992" max="10992" width="37.5703125" style="29" bestFit="1" customWidth="1"/>
    <col min="10993" max="10993" width="13.85546875" style="29" customWidth="1"/>
    <col min="10994" max="10994" width="13" style="29" customWidth="1"/>
    <col min="10995" max="10995" width="13.42578125" style="29" customWidth="1"/>
    <col min="10996" max="10996" width="11.28515625" style="29" customWidth="1"/>
    <col min="10997" max="10997" width="20.85546875" style="29" bestFit="1" customWidth="1"/>
    <col min="10998" max="10998" width="13.28515625" style="29" customWidth="1"/>
    <col min="10999" max="10999" width="19.7109375" style="29" customWidth="1"/>
    <col min="11000" max="11000" width="11.5703125" style="29" customWidth="1"/>
    <col min="11001" max="11001" width="23.28515625" style="29" customWidth="1"/>
    <col min="11002" max="11002" width="15.5703125" style="29" customWidth="1"/>
    <col min="11003" max="11245" width="9.140625" style="29"/>
    <col min="11246" max="11246" width="3.7109375" style="29" customWidth="1"/>
    <col min="11247" max="11247" width="12.85546875" style="29" customWidth="1"/>
    <col min="11248" max="11248" width="37.5703125" style="29" bestFit="1" customWidth="1"/>
    <col min="11249" max="11249" width="13.85546875" style="29" customWidth="1"/>
    <col min="11250" max="11250" width="13" style="29" customWidth="1"/>
    <col min="11251" max="11251" width="13.42578125" style="29" customWidth="1"/>
    <col min="11252" max="11252" width="11.28515625" style="29" customWidth="1"/>
    <col min="11253" max="11253" width="20.85546875" style="29" bestFit="1" customWidth="1"/>
    <col min="11254" max="11254" width="13.28515625" style="29" customWidth="1"/>
    <col min="11255" max="11255" width="19.7109375" style="29" customWidth="1"/>
    <col min="11256" max="11256" width="11.5703125" style="29" customWidth="1"/>
    <col min="11257" max="11257" width="23.28515625" style="29" customWidth="1"/>
    <col min="11258" max="11258" width="15.5703125" style="29" customWidth="1"/>
    <col min="11259" max="11501" width="9.140625" style="29"/>
    <col min="11502" max="11502" width="3.7109375" style="29" customWidth="1"/>
    <col min="11503" max="11503" width="12.85546875" style="29" customWidth="1"/>
    <col min="11504" max="11504" width="37.5703125" style="29" bestFit="1" customWidth="1"/>
    <col min="11505" max="11505" width="13.85546875" style="29" customWidth="1"/>
    <col min="11506" max="11506" width="13" style="29" customWidth="1"/>
    <col min="11507" max="11507" width="13.42578125" style="29" customWidth="1"/>
    <col min="11508" max="11508" width="11.28515625" style="29" customWidth="1"/>
    <col min="11509" max="11509" width="20.85546875" style="29" bestFit="1" customWidth="1"/>
    <col min="11510" max="11510" width="13.28515625" style="29" customWidth="1"/>
    <col min="11511" max="11511" width="19.7109375" style="29" customWidth="1"/>
    <col min="11512" max="11512" width="11.5703125" style="29" customWidth="1"/>
    <col min="11513" max="11513" width="23.28515625" style="29" customWidth="1"/>
    <col min="11514" max="11514" width="15.5703125" style="29" customWidth="1"/>
    <col min="11515" max="11757" width="9.140625" style="29"/>
    <col min="11758" max="11758" width="3.7109375" style="29" customWidth="1"/>
    <col min="11759" max="11759" width="12.85546875" style="29" customWidth="1"/>
    <col min="11760" max="11760" width="37.5703125" style="29" bestFit="1" customWidth="1"/>
    <col min="11761" max="11761" width="13.85546875" style="29" customWidth="1"/>
    <col min="11762" max="11762" width="13" style="29" customWidth="1"/>
    <col min="11763" max="11763" width="13.42578125" style="29" customWidth="1"/>
    <col min="11764" max="11764" width="11.28515625" style="29" customWidth="1"/>
    <col min="11765" max="11765" width="20.85546875" style="29" bestFit="1" customWidth="1"/>
    <col min="11766" max="11766" width="13.28515625" style="29" customWidth="1"/>
    <col min="11767" max="11767" width="19.7109375" style="29" customWidth="1"/>
    <col min="11768" max="11768" width="11.5703125" style="29" customWidth="1"/>
    <col min="11769" max="11769" width="23.28515625" style="29" customWidth="1"/>
    <col min="11770" max="11770" width="15.5703125" style="29" customWidth="1"/>
    <col min="11771" max="12013" width="9.140625" style="29"/>
    <col min="12014" max="12014" width="3.7109375" style="29" customWidth="1"/>
    <col min="12015" max="12015" width="12.85546875" style="29" customWidth="1"/>
    <col min="12016" max="12016" width="37.5703125" style="29" bestFit="1" customWidth="1"/>
    <col min="12017" max="12017" width="13.85546875" style="29" customWidth="1"/>
    <col min="12018" max="12018" width="13" style="29" customWidth="1"/>
    <col min="12019" max="12019" width="13.42578125" style="29" customWidth="1"/>
    <col min="12020" max="12020" width="11.28515625" style="29" customWidth="1"/>
    <col min="12021" max="12021" width="20.85546875" style="29" bestFit="1" customWidth="1"/>
    <col min="12022" max="12022" width="13.28515625" style="29" customWidth="1"/>
    <col min="12023" max="12023" width="19.7109375" style="29" customWidth="1"/>
    <col min="12024" max="12024" width="11.5703125" style="29" customWidth="1"/>
    <col min="12025" max="12025" width="23.28515625" style="29" customWidth="1"/>
    <col min="12026" max="12026" width="15.5703125" style="29" customWidth="1"/>
    <col min="12027" max="12269" width="9.140625" style="29"/>
    <col min="12270" max="12270" width="3.7109375" style="29" customWidth="1"/>
    <col min="12271" max="12271" width="12.85546875" style="29" customWidth="1"/>
    <col min="12272" max="12272" width="37.5703125" style="29" bestFit="1" customWidth="1"/>
    <col min="12273" max="12273" width="13.85546875" style="29" customWidth="1"/>
    <col min="12274" max="12274" width="13" style="29" customWidth="1"/>
    <col min="12275" max="12275" width="13.42578125" style="29" customWidth="1"/>
    <col min="12276" max="12276" width="11.28515625" style="29" customWidth="1"/>
    <col min="12277" max="12277" width="20.85546875" style="29" bestFit="1" customWidth="1"/>
    <col min="12278" max="12278" width="13.28515625" style="29" customWidth="1"/>
    <col min="12279" max="12279" width="19.7109375" style="29" customWidth="1"/>
    <col min="12280" max="12280" width="11.5703125" style="29" customWidth="1"/>
    <col min="12281" max="12281" width="23.28515625" style="29" customWidth="1"/>
    <col min="12282" max="12282" width="15.5703125" style="29" customWidth="1"/>
    <col min="12283" max="12525" width="9.140625" style="29"/>
    <col min="12526" max="12526" width="3.7109375" style="29" customWidth="1"/>
    <col min="12527" max="12527" width="12.85546875" style="29" customWidth="1"/>
    <col min="12528" max="12528" width="37.5703125" style="29" bestFit="1" customWidth="1"/>
    <col min="12529" max="12529" width="13.85546875" style="29" customWidth="1"/>
    <col min="12530" max="12530" width="13" style="29" customWidth="1"/>
    <col min="12531" max="12531" width="13.42578125" style="29" customWidth="1"/>
    <col min="12532" max="12532" width="11.28515625" style="29" customWidth="1"/>
    <col min="12533" max="12533" width="20.85546875" style="29" bestFit="1" customWidth="1"/>
    <col min="12534" max="12534" width="13.28515625" style="29" customWidth="1"/>
    <col min="12535" max="12535" width="19.7109375" style="29" customWidth="1"/>
    <col min="12536" max="12536" width="11.5703125" style="29" customWidth="1"/>
    <col min="12537" max="12537" width="23.28515625" style="29" customWidth="1"/>
    <col min="12538" max="12538" width="15.5703125" style="29" customWidth="1"/>
    <col min="12539" max="12781" width="9.140625" style="29"/>
    <col min="12782" max="12782" width="3.7109375" style="29" customWidth="1"/>
    <col min="12783" max="12783" width="12.85546875" style="29" customWidth="1"/>
    <col min="12784" max="12784" width="37.5703125" style="29" bestFit="1" customWidth="1"/>
    <col min="12785" max="12785" width="13.85546875" style="29" customWidth="1"/>
    <col min="12786" max="12786" width="13" style="29" customWidth="1"/>
    <col min="12787" max="12787" width="13.42578125" style="29" customWidth="1"/>
    <col min="12788" max="12788" width="11.28515625" style="29" customWidth="1"/>
    <col min="12789" max="12789" width="20.85546875" style="29" bestFit="1" customWidth="1"/>
    <col min="12790" max="12790" width="13.28515625" style="29" customWidth="1"/>
    <col min="12791" max="12791" width="19.7109375" style="29" customWidth="1"/>
    <col min="12792" max="12792" width="11.5703125" style="29" customWidth="1"/>
    <col min="12793" max="12793" width="23.28515625" style="29" customWidth="1"/>
    <col min="12794" max="12794" width="15.5703125" style="29" customWidth="1"/>
    <col min="12795" max="13037" width="9.140625" style="29"/>
    <col min="13038" max="13038" width="3.7109375" style="29" customWidth="1"/>
    <col min="13039" max="13039" width="12.85546875" style="29" customWidth="1"/>
    <col min="13040" max="13040" width="37.5703125" style="29" bestFit="1" customWidth="1"/>
    <col min="13041" max="13041" width="13.85546875" style="29" customWidth="1"/>
    <col min="13042" max="13042" width="13" style="29" customWidth="1"/>
    <col min="13043" max="13043" width="13.42578125" style="29" customWidth="1"/>
    <col min="13044" max="13044" width="11.28515625" style="29" customWidth="1"/>
    <col min="13045" max="13045" width="20.85546875" style="29" bestFit="1" customWidth="1"/>
    <col min="13046" max="13046" width="13.28515625" style="29" customWidth="1"/>
    <col min="13047" max="13047" width="19.7109375" style="29" customWidth="1"/>
    <col min="13048" max="13048" width="11.5703125" style="29" customWidth="1"/>
    <col min="13049" max="13049" width="23.28515625" style="29" customWidth="1"/>
    <col min="13050" max="13050" width="15.5703125" style="29" customWidth="1"/>
    <col min="13051" max="13293" width="9.140625" style="29"/>
    <col min="13294" max="13294" width="3.7109375" style="29" customWidth="1"/>
    <col min="13295" max="13295" width="12.85546875" style="29" customWidth="1"/>
    <col min="13296" max="13296" width="37.5703125" style="29" bestFit="1" customWidth="1"/>
    <col min="13297" max="13297" width="13.85546875" style="29" customWidth="1"/>
    <col min="13298" max="13298" width="13" style="29" customWidth="1"/>
    <col min="13299" max="13299" width="13.42578125" style="29" customWidth="1"/>
    <col min="13300" max="13300" width="11.28515625" style="29" customWidth="1"/>
    <col min="13301" max="13301" width="20.85546875" style="29" bestFit="1" customWidth="1"/>
    <col min="13302" max="13302" width="13.28515625" style="29" customWidth="1"/>
    <col min="13303" max="13303" width="19.7109375" style="29" customWidth="1"/>
    <col min="13304" max="13304" width="11.5703125" style="29" customWidth="1"/>
    <col min="13305" max="13305" width="23.28515625" style="29" customWidth="1"/>
    <col min="13306" max="13306" width="15.5703125" style="29" customWidth="1"/>
    <col min="13307" max="13549" width="9.140625" style="29"/>
    <col min="13550" max="13550" width="3.7109375" style="29" customWidth="1"/>
    <col min="13551" max="13551" width="12.85546875" style="29" customWidth="1"/>
    <col min="13552" max="13552" width="37.5703125" style="29" bestFit="1" customWidth="1"/>
    <col min="13553" max="13553" width="13.85546875" style="29" customWidth="1"/>
    <col min="13554" max="13554" width="13" style="29" customWidth="1"/>
    <col min="13555" max="13555" width="13.42578125" style="29" customWidth="1"/>
    <col min="13556" max="13556" width="11.28515625" style="29" customWidth="1"/>
    <col min="13557" max="13557" width="20.85546875" style="29" bestFit="1" customWidth="1"/>
    <col min="13558" max="13558" width="13.28515625" style="29" customWidth="1"/>
    <col min="13559" max="13559" width="19.7109375" style="29" customWidth="1"/>
    <col min="13560" max="13560" width="11.5703125" style="29" customWidth="1"/>
    <col min="13561" max="13561" width="23.28515625" style="29" customWidth="1"/>
    <col min="13562" max="13562" width="15.5703125" style="29" customWidth="1"/>
    <col min="13563" max="13805" width="9.140625" style="29"/>
    <col min="13806" max="13806" width="3.7109375" style="29" customWidth="1"/>
    <col min="13807" max="13807" width="12.85546875" style="29" customWidth="1"/>
    <col min="13808" max="13808" width="37.5703125" style="29" bestFit="1" customWidth="1"/>
    <col min="13809" max="13809" width="13.85546875" style="29" customWidth="1"/>
    <col min="13810" max="13810" width="13" style="29" customWidth="1"/>
    <col min="13811" max="13811" width="13.42578125" style="29" customWidth="1"/>
    <col min="13812" max="13812" width="11.28515625" style="29" customWidth="1"/>
    <col min="13813" max="13813" width="20.85546875" style="29" bestFit="1" customWidth="1"/>
    <col min="13814" max="13814" width="13.28515625" style="29" customWidth="1"/>
    <col min="13815" max="13815" width="19.7109375" style="29" customWidth="1"/>
    <col min="13816" max="13816" width="11.5703125" style="29" customWidth="1"/>
    <col min="13817" max="13817" width="23.28515625" style="29" customWidth="1"/>
    <col min="13818" max="13818" width="15.5703125" style="29" customWidth="1"/>
    <col min="13819" max="14061" width="9.140625" style="29"/>
    <col min="14062" max="14062" width="3.7109375" style="29" customWidth="1"/>
    <col min="14063" max="14063" width="12.85546875" style="29" customWidth="1"/>
    <col min="14064" max="14064" width="37.5703125" style="29" bestFit="1" customWidth="1"/>
    <col min="14065" max="14065" width="13.85546875" style="29" customWidth="1"/>
    <col min="14066" max="14066" width="13" style="29" customWidth="1"/>
    <col min="14067" max="14067" width="13.42578125" style="29" customWidth="1"/>
    <col min="14068" max="14068" width="11.28515625" style="29" customWidth="1"/>
    <col min="14069" max="14069" width="20.85546875" style="29" bestFit="1" customWidth="1"/>
    <col min="14070" max="14070" width="13.28515625" style="29" customWidth="1"/>
    <col min="14071" max="14071" width="19.7109375" style="29" customWidth="1"/>
    <col min="14072" max="14072" width="11.5703125" style="29" customWidth="1"/>
    <col min="14073" max="14073" width="23.28515625" style="29" customWidth="1"/>
    <col min="14074" max="14074" width="15.5703125" style="29" customWidth="1"/>
    <col min="14075" max="14317" width="9.140625" style="29"/>
    <col min="14318" max="14318" width="3.7109375" style="29" customWidth="1"/>
    <col min="14319" max="14319" width="12.85546875" style="29" customWidth="1"/>
    <col min="14320" max="14320" width="37.5703125" style="29" bestFit="1" customWidth="1"/>
    <col min="14321" max="14321" width="13.85546875" style="29" customWidth="1"/>
    <col min="14322" max="14322" width="13" style="29" customWidth="1"/>
    <col min="14323" max="14323" width="13.42578125" style="29" customWidth="1"/>
    <col min="14324" max="14324" width="11.28515625" style="29" customWidth="1"/>
    <col min="14325" max="14325" width="20.85546875" style="29" bestFit="1" customWidth="1"/>
    <col min="14326" max="14326" width="13.28515625" style="29" customWidth="1"/>
    <col min="14327" max="14327" width="19.7109375" style="29" customWidth="1"/>
    <col min="14328" max="14328" width="11.5703125" style="29" customWidth="1"/>
    <col min="14329" max="14329" width="23.28515625" style="29" customWidth="1"/>
    <col min="14330" max="14330" width="15.5703125" style="29" customWidth="1"/>
    <col min="14331" max="14573" width="9.140625" style="29"/>
    <col min="14574" max="14574" width="3.7109375" style="29" customWidth="1"/>
    <col min="14575" max="14575" width="12.85546875" style="29" customWidth="1"/>
    <col min="14576" max="14576" width="37.5703125" style="29" bestFit="1" customWidth="1"/>
    <col min="14577" max="14577" width="13.85546875" style="29" customWidth="1"/>
    <col min="14578" max="14578" width="13" style="29" customWidth="1"/>
    <col min="14579" max="14579" width="13.42578125" style="29" customWidth="1"/>
    <col min="14580" max="14580" width="11.28515625" style="29" customWidth="1"/>
    <col min="14581" max="14581" width="20.85546875" style="29" bestFit="1" customWidth="1"/>
    <col min="14582" max="14582" width="13.28515625" style="29" customWidth="1"/>
    <col min="14583" max="14583" width="19.7109375" style="29" customWidth="1"/>
    <col min="14584" max="14584" width="11.5703125" style="29" customWidth="1"/>
    <col min="14585" max="14585" width="23.28515625" style="29" customWidth="1"/>
    <col min="14586" max="14586" width="15.5703125" style="29" customWidth="1"/>
    <col min="14587" max="14829" width="9.140625" style="29"/>
    <col min="14830" max="14830" width="3.7109375" style="29" customWidth="1"/>
    <col min="14831" max="14831" width="12.85546875" style="29" customWidth="1"/>
    <col min="14832" max="14832" width="37.5703125" style="29" bestFit="1" customWidth="1"/>
    <col min="14833" max="14833" width="13.85546875" style="29" customWidth="1"/>
    <col min="14834" max="14834" width="13" style="29" customWidth="1"/>
    <col min="14835" max="14835" width="13.42578125" style="29" customWidth="1"/>
    <col min="14836" max="14836" width="11.28515625" style="29" customWidth="1"/>
    <col min="14837" max="14837" width="20.85546875" style="29" bestFit="1" customWidth="1"/>
    <col min="14838" max="14838" width="13.28515625" style="29" customWidth="1"/>
    <col min="14839" max="14839" width="19.7109375" style="29" customWidth="1"/>
    <col min="14840" max="14840" width="11.5703125" style="29" customWidth="1"/>
    <col min="14841" max="14841" width="23.28515625" style="29" customWidth="1"/>
    <col min="14842" max="14842" width="15.5703125" style="29" customWidth="1"/>
    <col min="14843" max="15085" width="9.140625" style="29"/>
    <col min="15086" max="15086" width="3.7109375" style="29" customWidth="1"/>
    <col min="15087" max="15087" width="12.85546875" style="29" customWidth="1"/>
    <col min="15088" max="15088" width="37.5703125" style="29" bestFit="1" customWidth="1"/>
    <col min="15089" max="15089" width="13.85546875" style="29" customWidth="1"/>
    <col min="15090" max="15090" width="13" style="29" customWidth="1"/>
    <col min="15091" max="15091" width="13.42578125" style="29" customWidth="1"/>
    <col min="15092" max="15092" width="11.28515625" style="29" customWidth="1"/>
    <col min="15093" max="15093" width="20.85546875" style="29" bestFit="1" customWidth="1"/>
    <col min="15094" max="15094" width="13.28515625" style="29" customWidth="1"/>
    <col min="15095" max="15095" width="19.7109375" style="29" customWidth="1"/>
    <col min="15096" max="15096" width="11.5703125" style="29" customWidth="1"/>
    <col min="15097" max="15097" width="23.28515625" style="29" customWidth="1"/>
    <col min="15098" max="15098" width="15.5703125" style="29" customWidth="1"/>
    <col min="15099" max="15341" width="9.140625" style="29"/>
    <col min="15342" max="15342" width="3.7109375" style="29" customWidth="1"/>
    <col min="15343" max="15343" width="12.85546875" style="29" customWidth="1"/>
    <col min="15344" max="15344" width="37.5703125" style="29" bestFit="1" customWidth="1"/>
    <col min="15345" max="15345" width="13.85546875" style="29" customWidth="1"/>
    <col min="15346" max="15346" width="13" style="29" customWidth="1"/>
    <col min="15347" max="15347" width="13.42578125" style="29" customWidth="1"/>
    <col min="15348" max="15348" width="11.28515625" style="29" customWidth="1"/>
    <col min="15349" max="15349" width="20.85546875" style="29" bestFit="1" customWidth="1"/>
    <col min="15350" max="15350" width="13.28515625" style="29" customWidth="1"/>
    <col min="15351" max="15351" width="19.7109375" style="29" customWidth="1"/>
    <col min="15352" max="15352" width="11.5703125" style="29" customWidth="1"/>
    <col min="15353" max="15353" width="23.28515625" style="29" customWidth="1"/>
    <col min="15354" max="15354" width="15.5703125" style="29" customWidth="1"/>
    <col min="15355" max="15597" width="9.140625" style="29"/>
    <col min="15598" max="15598" width="3.7109375" style="29" customWidth="1"/>
    <col min="15599" max="15599" width="12.85546875" style="29" customWidth="1"/>
    <col min="15600" max="15600" width="37.5703125" style="29" bestFit="1" customWidth="1"/>
    <col min="15601" max="15601" width="13.85546875" style="29" customWidth="1"/>
    <col min="15602" max="15602" width="13" style="29" customWidth="1"/>
    <col min="15603" max="15603" width="13.42578125" style="29" customWidth="1"/>
    <col min="15604" max="15604" width="11.28515625" style="29" customWidth="1"/>
    <col min="15605" max="15605" width="20.85546875" style="29" bestFit="1" customWidth="1"/>
    <col min="15606" max="15606" width="13.28515625" style="29" customWidth="1"/>
    <col min="15607" max="15607" width="19.7109375" style="29" customWidth="1"/>
    <col min="15608" max="15608" width="11.5703125" style="29" customWidth="1"/>
    <col min="15609" max="15609" width="23.28515625" style="29" customWidth="1"/>
    <col min="15610" max="15610" width="15.5703125" style="29" customWidth="1"/>
    <col min="15611" max="15853" width="9.140625" style="29"/>
    <col min="15854" max="15854" width="3.7109375" style="29" customWidth="1"/>
    <col min="15855" max="15855" width="12.85546875" style="29" customWidth="1"/>
    <col min="15856" max="15856" width="37.5703125" style="29" bestFit="1" customWidth="1"/>
    <col min="15857" max="15857" width="13.85546875" style="29" customWidth="1"/>
    <col min="15858" max="15858" width="13" style="29" customWidth="1"/>
    <col min="15859" max="15859" width="13.42578125" style="29" customWidth="1"/>
    <col min="15860" max="15860" width="11.28515625" style="29" customWidth="1"/>
    <col min="15861" max="15861" width="20.85546875" style="29" bestFit="1" customWidth="1"/>
    <col min="15862" max="15862" width="13.28515625" style="29" customWidth="1"/>
    <col min="15863" max="15863" width="19.7109375" style="29" customWidth="1"/>
    <col min="15864" max="15864" width="11.5703125" style="29" customWidth="1"/>
    <col min="15865" max="15865" width="23.28515625" style="29" customWidth="1"/>
    <col min="15866" max="15866" width="15.5703125" style="29" customWidth="1"/>
    <col min="15867" max="16109" width="9.140625" style="29"/>
    <col min="16110" max="16110" width="3.7109375" style="29" customWidth="1"/>
    <col min="16111" max="16111" width="12.85546875" style="29" customWidth="1"/>
    <col min="16112" max="16112" width="37.5703125" style="29" bestFit="1" customWidth="1"/>
    <col min="16113" max="16113" width="13.85546875" style="29" customWidth="1"/>
    <col min="16114" max="16114" width="13" style="29" customWidth="1"/>
    <col min="16115" max="16115" width="13.42578125" style="29" customWidth="1"/>
    <col min="16116" max="16116" width="11.28515625" style="29" customWidth="1"/>
    <col min="16117" max="16117" width="20.85546875" style="29" bestFit="1" customWidth="1"/>
    <col min="16118" max="16118" width="13.28515625" style="29" customWidth="1"/>
    <col min="16119" max="16119" width="19.7109375" style="29" customWidth="1"/>
    <col min="16120" max="16120" width="11.5703125" style="29" customWidth="1"/>
    <col min="16121" max="16121" width="23.28515625" style="29" customWidth="1"/>
    <col min="16122" max="16122" width="15.5703125" style="29" customWidth="1"/>
    <col min="16123" max="16384" width="9.140625" style="29"/>
  </cols>
  <sheetData>
    <row r="1" spans="1:8" ht="15.75" x14ac:dyDescent="0.25">
      <c r="A1" s="288"/>
      <c r="B1" s="288"/>
      <c r="C1" s="288"/>
      <c r="D1" s="288"/>
    </row>
    <row r="2" spans="1:8" s="31" customFormat="1" ht="38.25" customHeight="1" thickBot="1" x14ac:dyDescent="0.3">
      <c r="A2" s="119" t="s">
        <v>58</v>
      </c>
      <c r="B2" s="184" t="s">
        <v>125</v>
      </c>
      <c r="C2" s="119" t="s">
        <v>145</v>
      </c>
      <c r="D2" s="119" t="s">
        <v>241</v>
      </c>
      <c r="E2" s="119" t="s">
        <v>176</v>
      </c>
      <c r="F2" s="119" t="s">
        <v>156</v>
      </c>
    </row>
    <row r="3" spans="1:8" ht="12.75" customHeight="1" x14ac:dyDescent="0.2">
      <c r="A3" s="120" t="s">
        <v>181</v>
      </c>
      <c r="B3" s="292" t="s">
        <v>42</v>
      </c>
      <c r="C3" s="273">
        <v>2</v>
      </c>
      <c r="D3" s="263">
        <v>14200</v>
      </c>
      <c r="E3" s="263">
        <v>12</v>
      </c>
      <c r="F3" s="263">
        <f>D3*E3</f>
        <v>170400</v>
      </c>
    </row>
    <row r="4" spans="1:8" ht="13.5" thickBot="1" x14ac:dyDescent="0.25">
      <c r="A4" s="121" t="s">
        <v>182</v>
      </c>
      <c r="B4" s="293"/>
      <c r="C4" s="274"/>
      <c r="D4" s="275"/>
      <c r="E4" s="275"/>
      <c r="F4" s="275"/>
      <c r="H4" s="29">
        <f>C3+C14+C35+C36+C5+C17+C19+C27</f>
        <v>11</v>
      </c>
    </row>
    <row r="5" spans="1:8" ht="12.75" customHeight="1" x14ac:dyDescent="0.2">
      <c r="A5" s="120" t="s">
        <v>183</v>
      </c>
      <c r="B5" s="294" t="s">
        <v>191</v>
      </c>
      <c r="C5" s="273">
        <v>1</v>
      </c>
      <c r="D5" s="263">
        <v>7100</v>
      </c>
      <c r="E5" s="263">
        <v>3</v>
      </c>
      <c r="F5" s="263">
        <f>D5*E5</f>
        <v>21300</v>
      </c>
    </row>
    <row r="6" spans="1:8" x14ac:dyDescent="0.2">
      <c r="A6" s="122" t="s">
        <v>184</v>
      </c>
      <c r="B6" s="295"/>
      <c r="C6" s="285"/>
      <c r="D6" s="264"/>
      <c r="E6" s="264"/>
      <c r="F6" s="264"/>
    </row>
    <row r="7" spans="1:8" x14ac:dyDescent="0.2">
      <c r="A7" s="122" t="s">
        <v>185</v>
      </c>
      <c r="B7" s="295"/>
      <c r="C7" s="285"/>
      <c r="D7" s="264"/>
      <c r="E7" s="264"/>
      <c r="F7" s="264"/>
    </row>
    <row r="8" spans="1:8" ht="13.5" thickBot="1" x14ac:dyDescent="0.25">
      <c r="A8" s="121" t="s">
        <v>186</v>
      </c>
      <c r="B8" s="296"/>
      <c r="C8" s="274"/>
      <c r="D8" s="275"/>
      <c r="E8" s="275"/>
      <c r="F8" s="275"/>
    </row>
    <row r="9" spans="1:8" x14ac:dyDescent="0.2">
      <c r="A9" s="120" t="s">
        <v>183</v>
      </c>
      <c r="B9" s="294" t="s">
        <v>192</v>
      </c>
      <c r="C9" s="273">
        <v>2</v>
      </c>
      <c r="D9" s="263">
        <v>14200</v>
      </c>
      <c r="E9" s="263">
        <v>9</v>
      </c>
      <c r="F9" s="263">
        <f>D9*E9</f>
        <v>127800</v>
      </c>
    </row>
    <row r="10" spans="1:8" x14ac:dyDescent="0.2">
      <c r="A10" s="122" t="s">
        <v>184</v>
      </c>
      <c r="B10" s="295"/>
      <c r="C10" s="285"/>
      <c r="D10" s="264"/>
      <c r="E10" s="264"/>
      <c r="F10" s="264"/>
    </row>
    <row r="11" spans="1:8" x14ac:dyDescent="0.2">
      <c r="A11" s="122" t="s">
        <v>185</v>
      </c>
      <c r="B11" s="295"/>
      <c r="C11" s="285"/>
      <c r="D11" s="264"/>
      <c r="E11" s="264"/>
      <c r="F11" s="264"/>
    </row>
    <row r="12" spans="1:8" x14ac:dyDescent="0.2">
      <c r="A12" s="122" t="s">
        <v>186</v>
      </c>
      <c r="B12" s="295"/>
      <c r="C12" s="285"/>
      <c r="D12" s="264"/>
      <c r="E12" s="264"/>
      <c r="F12" s="264"/>
    </row>
    <row r="13" spans="1:8" ht="13.5" thickBot="1" x14ac:dyDescent="0.25">
      <c r="A13" s="121" t="s">
        <v>190</v>
      </c>
      <c r="B13" s="296"/>
      <c r="C13" s="274"/>
      <c r="D13" s="275"/>
      <c r="E13" s="275"/>
      <c r="F13" s="275"/>
    </row>
    <row r="14" spans="1:8" ht="12.75" customHeight="1" x14ac:dyDescent="0.2">
      <c r="A14" s="120" t="s">
        <v>187</v>
      </c>
      <c r="B14" s="297" t="s">
        <v>160</v>
      </c>
      <c r="C14" s="260">
        <v>2</v>
      </c>
      <c r="D14" s="267">
        <v>14200</v>
      </c>
      <c r="E14" s="267">
        <v>12</v>
      </c>
      <c r="F14" s="267">
        <f>D14*E14</f>
        <v>170400</v>
      </c>
    </row>
    <row r="15" spans="1:8" x14ac:dyDescent="0.2">
      <c r="A15" s="122" t="s">
        <v>188</v>
      </c>
      <c r="B15" s="298"/>
      <c r="C15" s="261"/>
      <c r="D15" s="268"/>
      <c r="E15" s="268"/>
      <c r="F15" s="268"/>
    </row>
    <row r="16" spans="1:8" ht="13.5" thickBot="1" x14ac:dyDescent="0.25">
      <c r="A16" s="121" t="s">
        <v>189</v>
      </c>
      <c r="B16" s="299"/>
      <c r="C16" s="266"/>
      <c r="D16" s="269"/>
      <c r="E16" s="269"/>
      <c r="F16" s="269"/>
    </row>
    <row r="17" spans="1:6" ht="15" customHeight="1" x14ac:dyDescent="0.2">
      <c r="A17" s="120" t="s">
        <v>190</v>
      </c>
      <c r="B17" s="294" t="s">
        <v>193</v>
      </c>
      <c r="C17" s="260">
        <v>1</v>
      </c>
      <c r="D17" s="267">
        <v>7100</v>
      </c>
      <c r="E17" s="267">
        <v>3</v>
      </c>
      <c r="F17" s="267">
        <f>D17*E17</f>
        <v>21300</v>
      </c>
    </row>
    <row r="18" spans="1:6" ht="13.5" thickBot="1" x14ac:dyDescent="0.25">
      <c r="A18" s="123" t="s">
        <v>80</v>
      </c>
      <c r="B18" s="296"/>
      <c r="C18" s="266"/>
      <c r="D18" s="269"/>
      <c r="E18" s="269"/>
      <c r="F18" s="269"/>
    </row>
    <row r="19" spans="1:6" ht="15" customHeight="1" x14ac:dyDescent="0.2">
      <c r="A19" s="124" t="s">
        <v>61</v>
      </c>
      <c r="B19" s="294" t="s">
        <v>194</v>
      </c>
      <c r="C19" s="273">
        <v>2</v>
      </c>
      <c r="D19" s="263">
        <v>14200</v>
      </c>
      <c r="E19" s="263">
        <v>3</v>
      </c>
      <c r="F19" s="263">
        <f>D19*E19</f>
        <v>42600</v>
      </c>
    </row>
    <row r="20" spans="1:6" ht="15" x14ac:dyDescent="0.2">
      <c r="A20" s="125" t="s">
        <v>63</v>
      </c>
      <c r="B20" s="295"/>
      <c r="C20" s="285"/>
      <c r="D20" s="264"/>
      <c r="E20" s="264"/>
      <c r="F20" s="264"/>
    </row>
    <row r="21" spans="1:6" ht="15.75" thickBot="1" x14ac:dyDescent="0.25">
      <c r="A21" s="136" t="s">
        <v>66</v>
      </c>
      <c r="B21" s="295"/>
      <c r="C21" s="285"/>
      <c r="D21" s="264"/>
      <c r="E21" s="264"/>
      <c r="F21" s="264"/>
    </row>
    <row r="22" spans="1:6" ht="15" customHeight="1" x14ac:dyDescent="0.2">
      <c r="A22" s="124" t="s">
        <v>61</v>
      </c>
      <c r="B22" s="297" t="s">
        <v>195</v>
      </c>
      <c r="C22" s="260">
        <v>3</v>
      </c>
      <c r="D22" s="267">
        <v>21300</v>
      </c>
      <c r="E22" s="267">
        <v>9</v>
      </c>
      <c r="F22" s="267">
        <f>D22*E22</f>
        <v>191700</v>
      </c>
    </row>
    <row r="23" spans="1:6" ht="15" x14ac:dyDescent="0.2">
      <c r="A23" s="125" t="s">
        <v>63</v>
      </c>
      <c r="B23" s="298"/>
      <c r="C23" s="261"/>
      <c r="D23" s="268"/>
      <c r="E23" s="268"/>
      <c r="F23" s="268"/>
    </row>
    <row r="24" spans="1:6" ht="15.75" customHeight="1" x14ac:dyDescent="0.2">
      <c r="A24" s="143" t="s">
        <v>80</v>
      </c>
      <c r="B24" s="298"/>
      <c r="C24" s="261"/>
      <c r="D24" s="268"/>
      <c r="E24" s="268"/>
      <c r="F24" s="268"/>
    </row>
    <row r="25" spans="1:6" ht="15" x14ac:dyDescent="0.2">
      <c r="A25" s="125" t="s">
        <v>66</v>
      </c>
      <c r="B25" s="298"/>
      <c r="C25" s="261"/>
      <c r="D25" s="268"/>
      <c r="E25" s="268"/>
      <c r="F25" s="268"/>
    </row>
    <row r="26" spans="1:6" ht="15.75" thickBot="1" x14ac:dyDescent="0.25">
      <c r="A26" s="126" t="s">
        <v>65</v>
      </c>
      <c r="B26" s="299"/>
      <c r="C26" s="266"/>
      <c r="D26" s="269"/>
      <c r="E26" s="269"/>
      <c r="F26" s="269"/>
    </row>
    <row r="27" spans="1:6" ht="12.75" customHeight="1" x14ac:dyDescent="0.2">
      <c r="A27" s="140" t="s">
        <v>86</v>
      </c>
      <c r="B27" s="295" t="s">
        <v>196</v>
      </c>
      <c r="C27" s="285">
        <v>1</v>
      </c>
      <c r="D27" s="264">
        <v>7100</v>
      </c>
      <c r="E27" s="264">
        <v>3</v>
      </c>
      <c r="F27" s="264">
        <f>D27*E27</f>
        <v>21300</v>
      </c>
    </row>
    <row r="28" spans="1:6" x14ac:dyDescent="0.2">
      <c r="A28" s="122" t="s">
        <v>87</v>
      </c>
      <c r="B28" s="295"/>
      <c r="C28" s="285"/>
      <c r="D28" s="264"/>
      <c r="E28" s="264"/>
      <c r="F28" s="264"/>
    </row>
    <row r="29" spans="1:6" x14ac:dyDescent="0.2">
      <c r="A29" s="122" t="s">
        <v>88</v>
      </c>
      <c r="B29" s="295"/>
      <c r="C29" s="285"/>
      <c r="D29" s="264"/>
      <c r="E29" s="264"/>
      <c r="F29" s="264"/>
    </row>
    <row r="30" spans="1:6" ht="13.5" thickBot="1" x14ac:dyDescent="0.25">
      <c r="A30" s="121" t="s">
        <v>89</v>
      </c>
      <c r="B30" s="296"/>
      <c r="C30" s="274"/>
      <c r="D30" s="275"/>
      <c r="E30" s="275"/>
      <c r="F30" s="275"/>
    </row>
    <row r="31" spans="1:6" x14ac:dyDescent="0.2">
      <c r="A31" s="120" t="s">
        <v>86</v>
      </c>
      <c r="B31" s="294" t="s">
        <v>197</v>
      </c>
      <c r="C31" s="273">
        <v>2</v>
      </c>
      <c r="D31" s="263">
        <v>14200</v>
      </c>
      <c r="E31" s="263">
        <v>9</v>
      </c>
      <c r="F31" s="263">
        <f>D31*E31</f>
        <v>127800</v>
      </c>
    </row>
    <row r="32" spans="1:6" x14ac:dyDescent="0.2">
      <c r="A32" s="122" t="s">
        <v>87</v>
      </c>
      <c r="B32" s="295"/>
      <c r="C32" s="285"/>
      <c r="D32" s="264"/>
      <c r="E32" s="264"/>
      <c r="F32" s="264"/>
    </row>
    <row r="33" spans="1:6" x14ac:dyDescent="0.2">
      <c r="A33" s="122" t="s">
        <v>88</v>
      </c>
      <c r="B33" s="295"/>
      <c r="C33" s="285"/>
      <c r="D33" s="264"/>
      <c r="E33" s="264"/>
      <c r="F33" s="264"/>
    </row>
    <row r="34" spans="1:6" ht="13.5" thickBot="1" x14ac:dyDescent="0.25">
      <c r="A34" s="121" t="s">
        <v>89</v>
      </c>
      <c r="B34" s="296"/>
      <c r="C34" s="274"/>
      <c r="D34" s="275"/>
      <c r="E34" s="275"/>
      <c r="F34" s="275"/>
    </row>
    <row r="35" spans="1:6" ht="25.5" customHeight="1" thickBot="1" x14ac:dyDescent="0.25">
      <c r="A35" s="127" t="s">
        <v>134</v>
      </c>
      <c r="B35" s="185" t="s">
        <v>179</v>
      </c>
      <c r="C35" s="129">
        <v>1</v>
      </c>
      <c r="D35" s="130">
        <v>7100</v>
      </c>
      <c r="E35" s="130">
        <v>12</v>
      </c>
      <c r="F35" s="130">
        <f>D35*E35</f>
        <v>85200</v>
      </c>
    </row>
    <row r="36" spans="1:6" ht="45" customHeight="1" thickBot="1" x14ac:dyDescent="0.25">
      <c r="A36" s="131" t="s">
        <v>133</v>
      </c>
      <c r="B36" s="185" t="s">
        <v>178</v>
      </c>
      <c r="C36" s="129">
        <v>1</v>
      </c>
      <c r="D36" s="130">
        <v>7100</v>
      </c>
      <c r="E36" s="130">
        <v>12</v>
      </c>
      <c r="F36" s="130">
        <f>D36*E36</f>
        <v>85200</v>
      </c>
    </row>
    <row r="37" spans="1:6" ht="23.25" customHeight="1" x14ac:dyDescent="0.2">
      <c r="A37" s="132" t="s">
        <v>117</v>
      </c>
      <c r="B37" s="294" t="s">
        <v>228</v>
      </c>
      <c r="C37" s="273">
        <v>1</v>
      </c>
      <c r="D37" s="263">
        <v>7100</v>
      </c>
      <c r="E37" s="263">
        <v>9</v>
      </c>
      <c r="F37" s="263">
        <f>D37*E37</f>
        <v>63900</v>
      </c>
    </row>
    <row r="38" spans="1:6" ht="25.5" customHeight="1" thickBot="1" x14ac:dyDescent="0.25">
      <c r="A38" s="133" t="s">
        <v>123</v>
      </c>
      <c r="B38" s="296"/>
      <c r="C38" s="274"/>
      <c r="D38" s="275"/>
      <c r="E38" s="275"/>
      <c r="F38" s="275"/>
    </row>
    <row r="39" spans="1:6" x14ac:dyDescent="0.2">
      <c r="A39" s="132" t="s">
        <v>70</v>
      </c>
      <c r="B39" s="294" t="s">
        <v>229</v>
      </c>
      <c r="C39" s="273">
        <v>1</v>
      </c>
      <c r="D39" s="267">
        <v>7100</v>
      </c>
      <c r="E39" s="267">
        <v>6</v>
      </c>
      <c r="F39" s="267">
        <f>D39*E39</f>
        <v>42600</v>
      </c>
    </row>
    <row r="40" spans="1:6" x14ac:dyDescent="0.2">
      <c r="A40" s="134" t="s">
        <v>76</v>
      </c>
      <c r="B40" s="295"/>
      <c r="C40" s="285"/>
      <c r="D40" s="268"/>
      <c r="E40" s="268"/>
      <c r="F40" s="268"/>
    </row>
    <row r="41" spans="1:6" ht="13.5" thickBot="1" x14ac:dyDescent="0.25">
      <c r="A41" s="133" t="s">
        <v>144</v>
      </c>
      <c r="B41" s="296"/>
      <c r="C41" s="274"/>
      <c r="D41" s="269"/>
      <c r="E41" s="269"/>
      <c r="F41" s="269"/>
    </row>
    <row r="42" spans="1:6" ht="21.75" customHeight="1" x14ac:dyDescent="0.2">
      <c r="A42" s="132" t="s">
        <v>180</v>
      </c>
      <c r="B42" s="300" t="s">
        <v>239</v>
      </c>
      <c r="C42" s="273">
        <v>1</v>
      </c>
      <c r="D42" s="267">
        <v>7100</v>
      </c>
      <c r="E42" s="267">
        <v>9</v>
      </c>
      <c r="F42" s="267">
        <f>D42*E42</f>
        <v>63900</v>
      </c>
    </row>
    <row r="43" spans="1:6" ht="18.75" customHeight="1" thickBot="1" x14ac:dyDescent="0.25">
      <c r="A43" s="133" t="s">
        <v>122</v>
      </c>
      <c r="B43" s="301"/>
      <c r="C43" s="274"/>
      <c r="D43" s="269"/>
      <c r="E43" s="269"/>
      <c r="F43" s="269"/>
    </row>
    <row r="44" spans="1:6" x14ac:dyDescent="0.2">
      <c r="A44" s="135" t="s">
        <v>72</v>
      </c>
      <c r="B44" s="294" t="s">
        <v>230</v>
      </c>
      <c r="C44" s="273">
        <v>1</v>
      </c>
      <c r="D44" s="263">
        <v>7100</v>
      </c>
      <c r="E44" s="263">
        <v>10</v>
      </c>
      <c r="F44" s="263">
        <f>D44*E44</f>
        <v>71000</v>
      </c>
    </row>
    <row r="45" spans="1:6" ht="15" x14ac:dyDescent="0.2">
      <c r="A45" s="125" t="s">
        <v>73</v>
      </c>
      <c r="B45" s="295"/>
      <c r="C45" s="285"/>
      <c r="D45" s="264"/>
      <c r="E45" s="264"/>
      <c r="F45" s="264"/>
    </row>
    <row r="46" spans="1:6" ht="15" x14ac:dyDescent="0.2">
      <c r="A46" s="125" t="s">
        <v>74</v>
      </c>
      <c r="B46" s="295"/>
      <c r="C46" s="285"/>
      <c r="D46" s="264"/>
      <c r="E46" s="264"/>
      <c r="F46" s="264"/>
    </row>
    <row r="47" spans="1:6" ht="15" x14ac:dyDescent="0.2">
      <c r="A47" s="125" t="s">
        <v>75</v>
      </c>
      <c r="B47" s="295"/>
      <c r="C47" s="285"/>
      <c r="D47" s="264"/>
      <c r="E47" s="264"/>
      <c r="F47" s="264"/>
    </row>
    <row r="48" spans="1:6" ht="15.75" thickBot="1" x14ac:dyDescent="0.25">
      <c r="A48" s="136" t="s">
        <v>77</v>
      </c>
      <c r="B48" s="295"/>
      <c r="C48" s="285"/>
      <c r="D48" s="264"/>
      <c r="E48" s="264"/>
      <c r="F48" s="264"/>
    </row>
    <row r="49" spans="1:6" ht="15" x14ac:dyDescent="0.2">
      <c r="A49" s="124" t="s">
        <v>62</v>
      </c>
      <c r="B49" s="294" t="s">
        <v>199</v>
      </c>
      <c r="C49" s="280">
        <v>1</v>
      </c>
      <c r="D49" s="267">
        <v>7100</v>
      </c>
      <c r="E49" s="267">
        <v>6</v>
      </c>
      <c r="F49" s="267">
        <f>D49*E49</f>
        <v>42600</v>
      </c>
    </row>
    <row r="50" spans="1:6" ht="15" x14ac:dyDescent="0.2">
      <c r="A50" s="125" t="s">
        <v>64</v>
      </c>
      <c r="B50" s="295"/>
      <c r="C50" s="281"/>
      <c r="D50" s="268"/>
      <c r="E50" s="268"/>
      <c r="F50" s="268"/>
    </row>
    <row r="51" spans="1:6" ht="15.75" thickBot="1" x14ac:dyDescent="0.25">
      <c r="A51" s="136" t="s">
        <v>67</v>
      </c>
      <c r="B51" s="295"/>
      <c r="C51" s="281"/>
      <c r="D51" s="270"/>
      <c r="E51" s="270"/>
      <c r="F51" s="270"/>
    </row>
    <row r="52" spans="1:6" x14ac:dyDescent="0.2">
      <c r="A52" s="132" t="s">
        <v>118</v>
      </c>
      <c r="B52" s="302" t="s">
        <v>240</v>
      </c>
      <c r="C52" s="260">
        <v>1</v>
      </c>
      <c r="D52" s="267">
        <v>7100</v>
      </c>
      <c r="E52" s="267">
        <v>6</v>
      </c>
      <c r="F52" s="267">
        <f>D52*E52</f>
        <v>42600</v>
      </c>
    </row>
    <row r="53" spans="1:6" x14ac:dyDescent="0.2">
      <c r="A53" s="134" t="s">
        <v>115</v>
      </c>
      <c r="B53" s="303"/>
      <c r="C53" s="261"/>
      <c r="D53" s="268"/>
      <c r="E53" s="268"/>
      <c r="F53" s="268"/>
    </row>
    <row r="54" spans="1:6" ht="13.5" thickBot="1" x14ac:dyDescent="0.25">
      <c r="A54" s="137" t="s">
        <v>121</v>
      </c>
      <c r="B54" s="304"/>
      <c r="C54" s="262"/>
      <c r="D54" s="270"/>
      <c r="E54" s="270"/>
      <c r="F54" s="270"/>
    </row>
    <row r="55" spans="1:6" x14ac:dyDescent="0.2">
      <c r="A55" s="120" t="s">
        <v>98</v>
      </c>
      <c r="B55" s="297" t="s">
        <v>231</v>
      </c>
      <c r="C55" s="260">
        <v>1</v>
      </c>
      <c r="D55" s="267">
        <v>7100</v>
      </c>
      <c r="E55" s="267">
        <v>6</v>
      </c>
      <c r="F55" s="267">
        <f>D55*E55</f>
        <v>42600</v>
      </c>
    </row>
    <row r="56" spans="1:6" ht="15" customHeight="1" x14ac:dyDescent="0.2">
      <c r="A56" s="122" t="s">
        <v>101</v>
      </c>
      <c r="B56" s="298"/>
      <c r="C56" s="261"/>
      <c r="D56" s="268"/>
      <c r="E56" s="268"/>
      <c r="F56" s="268"/>
    </row>
    <row r="57" spans="1:6" ht="15" customHeight="1" x14ac:dyDescent="0.2">
      <c r="A57" s="122" t="s">
        <v>105</v>
      </c>
      <c r="B57" s="298"/>
      <c r="C57" s="261"/>
      <c r="D57" s="268"/>
      <c r="E57" s="268"/>
      <c r="F57" s="268"/>
    </row>
    <row r="58" spans="1:6" ht="15.75" customHeight="1" thickBot="1" x14ac:dyDescent="0.25">
      <c r="A58" s="138" t="s">
        <v>107</v>
      </c>
      <c r="B58" s="230"/>
      <c r="C58" s="262"/>
      <c r="D58" s="270"/>
      <c r="E58" s="270"/>
      <c r="F58" s="270"/>
    </row>
    <row r="59" spans="1:6" x14ac:dyDescent="0.2">
      <c r="A59" s="132" t="s">
        <v>127</v>
      </c>
      <c r="B59" s="297" t="s">
        <v>232</v>
      </c>
      <c r="C59" s="260">
        <v>1</v>
      </c>
      <c r="D59" s="267">
        <v>7100</v>
      </c>
      <c r="E59" s="267">
        <v>10</v>
      </c>
      <c r="F59" s="267">
        <f>D59*E59</f>
        <v>71000</v>
      </c>
    </row>
    <row r="60" spans="1:6" ht="13.5" thickBot="1" x14ac:dyDescent="0.25">
      <c r="A60" s="137" t="s">
        <v>129</v>
      </c>
      <c r="B60" s="230"/>
      <c r="C60" s="262"/>
      <c r="D60" s="270"/>
      <c r="E60" s="270"/>
      <c r="F60" s="270"/>
    </row>
    <row r="61" spans="1:6" x14ac:dyDescent="0.2">
      <c r="A61" s="120" t="s">
        <v>97</v>
      </c>
      <c r="B61" s="297" t="s">
        <v>201</v>
      </c>
      <c r="C61" s="260">
        <v>1</v>
      </c>
      <c r="D61" s="263">
        <v>7100</v>
      </c>
      <c r="E61" s="263">
        <v>6</v>
      </c>
      <c r="F61" s="263">
        <f>D61*E61</f>
        <v>42600</v>
      </c>
    </row>
    <row r="62" spans="1:6" ht="15" customHeight="1" x14ac:dyDescent="0.2">
      <c r="A62" s="139" t="s">
        <v>144</v>
      </c>
      <c r="B62" s="298"/>
      <c r="C62" s="261"/>
      <c r="D62" s="264"/>
      <c r="E62" s="264"/>
      <c r="F62" s="264"/>
    </row>
    <row r="63" spans="1:6" ht="15" customHeight="1" thickBot="1" x14ac:dyDescent="0.25">
      <c r="A63" s="138" t="s">
        <v>95</v>
      </c>
      <c r="B63" s="230"/>
      <c r="C63" s="262"/>
      <c r="D63" s="264"/>
      <c r="E63" s="264"/>
      <c r="F63" s="264"/>
    </row>
    <row r="64" spans="1:6" x14ac:dyDescent="0.2">
      <c r="A64" s="120" t="s">
        <v>96</v>
      </c>
      <c r="B64" s="297" t="s">
        <v>202</v>
      </c>
      <c r="C64" s="260">
        <v>1</v>
      </c>
      <c r="D64" s="267">
        <v>7100</v>
      </c>
      <c r="E64" s="267">
        <v>6</v>
      </c>
      <c r="F64" s="267">
        <f>D64*E64</f>
        <v>42600</v>
      </c>
    </row>
    <row r="65" spans="1:10" x14ac:dyDescent="0.2">
      <c r="A65" s="122" t="s">
        <v>99</v>
      </c>
      <c r="B65" s="298"/>
      <c r="C65" s="261"/>
      <c r="D65" s="268"/>
      <c r="E65" s="268"/>
      <c r="F65" s="268"/>
    </row>
    <row r="66" spans="1:10" ht="13.5" thickBot="1" x14ac:dyDescent="0.25">
      <c r="A66" s="141" t="s">
        <v>128</v>
      </c>
      <c r="B66" s="230"/>
      <c r="C66" s="262"/>
      <c r="D66" s="270"/>
      <c r="E66" s="270"/>
      <c r="F66" s="270"/>
    </row>
    <row r="67" spans="1:10" x14ac:dyDescent="0.2">
      <c r="A67" s="120" t="s">
        <v>100</v>
      </c>
      <c r="B67" s="297" t="s">
        <v>201</v>
      </c>
      <c r="C67" s="260">
        <v>1</v>
      </c>
      <c r="D67" s="267">
        <v>7100</v>
      </c>
      <c r="E67" s="267">
        <v>6</v>
      </c>
      <c r="F67" s="267">
        <f>D67*E67</f>
        <v>42600</v>
      </c>
    </row>
    <row r="68" spans="1:10" ht="13.5" thickBot="1" x14ac:dyDescent="0.25">
      <c r="A68" s="138" t="s">
        <v>102</v>
      </c>
      <c r="B68" s="230"/>
      <c r="C68" s="262"/>
      <c r="D68" s="270"/>
      <c r="E68" s="270"/>
      <c r="F68" s="270"/>
    </row>
    <row r="69" spans="1:10" x14ac:dyDescent="0.2">
      <c r="A69" s="120" t="s">
        <v>81</v>
      </c>
      <c r="B69" s="297" t="s">
        <v>203</v>
      </c>
      <c r="C69" s="276">
        <v>1</v>
      </c>
      <c r="D69" s="278">
        <v>7100</v>
      </c>
      <c r="E69" s="278">
        <v>6</v>
      </c>
      <c r="F69" s="278">
        <f>D69*E69</f>
        <v>42600</v>
      </c>
    </row>
    <row r="70" spans="1:10" ht="13.5" thickBot="1" x14ac:dyDescent="0.25">
      <c r="A70" s="138" t="s">
        <v>83</v>
      </c>
      <c r="B70" s="230"/>
      <c r="C70" s="277"/>
      <c r="D70" s="279"/>
      <c r="E70" s="279"/>
      <c r="F70" s="279"/>
    </row>
    <row r="71" spans="1:10" x14ac:dyDescent="0.2">
      <c r="A71" s="132" t="s">
        <v>119</v>
      </c>
      <c r="B71" s="297" t="s">
        <v>204</v>
      </c>
      <c r="C71" s="260">
        <v>1</v>
      </c>
      <c r="D71" s="263">
        <v>7100</v>
      </c>
      <c r="E71" s="263">
        <v>6</v>
      </c>
      <c r="F71" s="263">
        <f>D71*E71</f>
        <v>42600</v>
      </c>
    </row>
    <row r="72" spans="1:10" ht="15" customHeight="1" x14ac:dyDescent="0.2">
      <c r="A72" s="122" t="s">
        <v>106</v>
      </c>
      <c r="B72" s="298"/>
      <c r="C72" s="261"/>
      <c r="D72" s="264"/>
      <c r="E72" s="264"/>
      <c r="F72" s="264"/>
    </row>
    <row r="73" spans="1:10" ht="15" customHeight="1" x14ac:dyDescent="0.2">
      <c r="A73" s="122" t="s">
        <v>108</v>
      </c>
      <c r="B73" s="298"/>
      <c r="C73" s="261"/>
      <c r="D73" s="264"/>
      <c r="E73" s="264"/>
      <c r="F73" s="264"/>
    </row>
    <row r="74" spans="1:10" ht="15" customHeight="1" x14ac:dyDescent="0.2">
      <c r="A74" s="143" t="s">
        <v>103</v>
      </c>
      <c r="B74" s="298"/>
      <c r="C74" s="261"/>
      <c r="D74" s="264"/>
      <c r="E74" s="264"/>
      <c r="F74" s="264"/>
    </row>
    <row r="75" spans="1:10" ht="15" customHeight="1" thickBot="1" x14ac:dyDescent="0.25">
      <c r="A75" s="133" t="s">
        <v>167</v>
      </c>
      <c r="B75" s="299"/>
      <c r="C75" s="266"/>
      <c r="D75" s="275"/>
      <c r="E75" s="275"/>
      <c r="F75" s="275"/>
    </row>
    <row r="77" spans="1:10" x14ac:dyDescent="0.2">
      <c r="C77" s="142">
        <f>C3+C5+C9+C14+C17+C19+C22+C27+C31+C35+C36+C37+C39+C42+C44+C49+C52+C55+C59+C61+C64+C67+C69+C71</f>
        <v>31</v>
      </c>
      <c r="D77" s="142"/>
      <c r="E77" s="142"/>
      <c r="F77" s="142">
        <f t="shared" ref="F77" si="0">F3+F5+F9+F14+F17+F19+F22+F27+F31+F35+F36+F37+F39+F42+F44+F49+F52+F55+F59+F61+F64+F67+F69+F71</f>
        <v>1718200</v>
      </c>
      <c r="H77" s="142">
        <f>F88-F77</f>
        <v>1278000</v>
      </c>
      <c r="J77" s="142"/>
    </row>
    <row r="81" spans="3:17" ht="24" customHeight="1" x14ac:dyDescent="0.2">
      <c r="C81" s="31">
        <v>9</v>
      </c>
      <c r="D81" s="29" t="s">
        <v>267</v>
      </c>
      <c r="K81" s="291" t="s">
        <v>271</v>
      </c>
      <c r="L81" s="291"/>
      <c r="M81" s="291"/>
      <c r="N81" s="291"/>
    </row>
    <row r="82" spans="3:17" x14ac:dyDescent="0.2">
      <c r="C82" s="31">
        <v>6</v>
      </c>
      <c r="D82" s="29" t="s">
        <v>176</v>
      </c>
      <c r="F82" s="142">
        <f>C81*C82*D71</f>
        <v>383400</v>
      </c>
      <c r="K82" s="38" t="s">
        <v>267</v>
      </c>
      <c r="L82" s="38" t="s">
        <v>176</v>
      </c>
      <c r="M82" s="38" t="s">
        <v>269</v>
      </c>
      <c r="N82" s="38" t="s">
        <v>156</v>
      </c>
    </row>
    <row r="83" spans="3:17" x14ac:dyDescent="0.2">
      <c r="C83" s="31">
        <v>31</v>
      </c>
      <c r="D83" s="29" t="s">
        <v>267</v>
      </c>
      <c r="K83" s="38">
        <v>1</v>
      </c>
      <c r="L83" s="38">
        <v>8</v>
      </c>
      <c r="M83" s="38">
        <v>7100</v>
      </c>
      <c r="N83" s="38">
        <f>K83*L83*M83</f>
        <v>56800</v>
      </c>
    </row>
    <row r="84" spans="3:17" x14ac:dyDescent="0.2">
      <c r="C84" s="31">
        <v>12</v>
      </c>
      <c r="D84" s="29" t="s">
        <v>176</v>
      </c>
      <c r="F84" s="142">
        <f>C83*C84*D71</f>
        <v>2641200</v>
      </c>
      <c r="K84" s="38">
        <v>1</v>
      </c>
      <c r="L84" s="38">
        <v>7</v>
      </c>
      <c r="M84" s="38">
        <v>7100</v>
      </c>
      <c r="N84" s="38">
        <f>K84*L84*M84</f>
        <v>49700</v>
      </c>
      <c r="Q84" s="142">
        <f>H88-N83</f>
        <v>302000</v>
      </c>
    </row>
    <row r="85" spans="3:17" x14ac:dyDescent="0.2">
      <c r="K85" s="38">
        <v>2</v>
      </c>
      <c r="L85" s="38">
        <v>6</v>
      </c>
      <c r="M85" s="38">
        <v>7100</v>
      </c>
      <c r="N85" s="38">
        <f>K85*L85*M85</f>
        <v>85200</v>
      </c>
      <c r="Q85" s="142">
        <f>Q84-N85</f>
        <v>216800</v>
      </c>
    </row>
    <row r="86" spans="3:17" x14ac:dyDescent="0.2">
      <c r="D86" s="29" t="s">
        <v>268</v>
      </c>
      <c r="F86" s="142">
        <f>F84+F82</f>
        <v>3024600</v>
      </c>
      <c r="H86" s="29">
        <v>3000000</v>
      </c>
      <c r="I86" s="142">
        <f>F86-H86</f>
        <v>24600</v>
      </c>
      <c r="K86" s="38">
        <v>3</v>
      </c>
      <c r="L86" s="38">
        <v>5</v>
      </c>
      <c r="M86" s="38">
        <v>7100</v>
      </c>
      <c r="N86" s="38">
        <f>K86*L86*M86</f>
        <v>106500</v>
      </c>
      <c r="Q86" s="142">
        <f>Q85-N86</f>
        <v>110300</v>
      </c>
    </row>
    <row r="87" spans="3:17" x14ac:dyDescent="0.2">
      <c r="I87" s="29">
        <f>I86/D71</f>
        <v>3.464788732394366</v>
      </c>
      <c r="K87" s="38">
        <v>2</v>
      </c>
      <c r="L87" s="38">
        <v>4</v>
      </c>
      <c r="M87" s="38">
        <v>7100</v>
      </c>
      <c r="N87" s="38">
        <f>K87*L87*M87</f>
        <v>56800</v>
      </c>
    </row>
    <row r="88" spans="3:17" x14ac:dyDescent="0.2">
      <c r="D88" s="29" t="s">
        <v>270</v>
      </c>
      <c r="F88" s="142">
        <f>F84+N89</f>
        <v>2996200</v>
      </c>
      <c r="H88" s="142">
        <f>H86-F84</f>
        <v>358800</v>
      </c>
      <c r="K88" s="38"/>
      <c r="L88" s="38"/>
      <c r="M88" s="38"/>
      <c r="N88" s="38"/>
      <c r="Q88" s="211">
        <f>Q86/2/7100</f>
        <v>7.767605633802817</v>
      </c>
    </row>
    <row r="89" spans="3:17" x14ac:dyDescent="0.2">
      <c r="K89" s="38"/>
      <c r="L89" s="38"/>
      <c r="M89" s="38"/>
      <c r="N89" s="38">
        <f>N83+N85+N86+N87+N84</f>
        <v>355000</v>
      </c>
    </row>
    <row r="90" spans="3:17" x14ac:dyDescent="0.2">
      <c r="D90" s="29">
        <v>2021</v>
      </c>
      <c r="F90" s="29">
        <f>(C83+C81)*C84*M83</f>
        <v>3408000</v>
      </c>
    </row>
  </sheetData>
  <mergeCells count="112">
    <mergeCell ref="B71:B75"/>
    <mergeCell ref="C71:C75"/>
    <mergeCell ref="D71:D75"/>
    <mergeCell ref="E71:E75"/>
    <mergeCell ref="F71:F75"/>
    <mergeCell ref="B67:B68"/>
    <mergeCell ref="C67:C68"/>
    <mergeCell ref="D67:D68"/>
    <mergeCell ref="E67:E68"/>
    <mergeCell ref="F67:F68"/>
    <mergeCell ref="B69:B70"/>
    <mergeCell ref="C69:C70"/>
    <mergeCell ref="D69:D70"/>
    <mergeCell ref="E69:E70"/>
    <mergeCell ref="F69:F70"/>
    <mergeCell ref="B61:B63"/>
    <mergeCell ref="C61:C63"/>
    <mergeCell ref="D61:D63"/>
    <mergeCell ref="E61:E63"/>
    <mergeCell ref="F61:F63"/>
    <mergeCell ref="B64:B66"/>
    <mergeCell ref="C64:C66"/>
    <mergeCell ref="D64:D66"/>
    <mergeCell ref="E64:E66"/>
    <mergeCell ref="F64:F66"/>
    <mergeCell ref="B55:B58"/>
    <mergeCell ref="C55:C58"/>
    <mergeCell ref="D55:D58"/>
    <mergeCell ref="E55:E58"/>
    <mergeCell ref="F55:F58"/>
    <mergeCell ref="B59:B60"/>
    <mergeCell ref="C59:C60"/>
    <mergeCell ref="D59:D60"/>
    <mergeCell ref="E59:E60"/>
    <mergeCell ref="F59:F60"/>
    <mergeCell ref="B49:B51"/>
    <mergeCell ref="C49:C51"/>
    <mergeCell ref="D49:D51"/>
    <mergeCell ref="E49:E51"/>
    <mergeCell ref="F49:F51"/>
    <mergeCell ref="B52:B54"/>
    <mergeCell ref="C52:C54"/>
    <mergeCell ref="D52:D54"/>
    <mergeCell ref="E52:E54"/>
    <mergeCell ref="F52:F54"/>
    <mergeCell ref="B42:B43"/>
    <mergeCell ref="C42:C43"/>
    <mergeCell ref="D42:D43"/>
    <mergeCell ref="E42:E43"/>
    <mergeCell ref="F42:F43"/>
    <mergeCell ref="B44:B48"/>
    <mergeCell ref="C44:C48"/>
    <mergeCell ref="D44:D48"/>
    <mergeCell ref="E44:E48"/>
    <mergeCell ref="F44:F48"/>
    <mergeCell ref="B37:B38"/>
    <mergeCell ref="C37:C38"/>
    <mergeCell ref="D37:D38"/>
    <mergeCell ref="E37:E38"/>
    <mergeCell ref="F37:F38"/>
    <mergeCell ref="B39:B41"/>
    <mergeCell ref="C39:C41"/>
    <mergeCell ref="D39:D41"/>
    <mergeCell ref="E39:E41"/>
    <mergeCell ref="F39:F41"/>
    <mergeCell ref="B27:B30"/>
    <mergeCell ref="C27:C30"/>
    <mergeCell ref="D27:D30"/>
    <mergeCell ref="E27:E30"/>
    <mergeCell ref="F27:F30"/>
    <mergeCell ref="B31:B34"/>
    <mergeCell ref="C31:C34"/>
    <mergeCell ref="D31:D34"/>
    <mergeCell ref="E31:E34"/>
    <mergeCell ref="F31:F34"/>
    <mergeCell ref="D17:D18"/>
    <mergeCell ref="E17:E18"/>
    <mergeCell ref="F17:F18"/>
    <mergeCell ref="B19:B21"/>
    <mergeCell ref="C19:C21"/>
    <mergeCell ref="D19:D21"/>
    <mergeCell ref="E19:E21"/>
    <mergeCell ref="F19:F21"/>
    <mergeCell ref="B22:B26"/>
    <mergeCell ref="C22:C26"/>
    <mergeCell ref="D22:D26"/>
    <mergeCell ref="E22:E26"/>
    <mergeCell ref="F22:F26"/>
    <mergeCell ref="K81:N81"/>
    <mergeCell ref="A1:D1"/>
    <mergeCell ref="B3:B4"/>
    <mergeCell ref="C3:C4"/>
    <mergeCell ref="D3:D4"/>
    <mergeCell ref="E3:E4"/>
    <mergeCell ref="F3:F4"/>
    <mergeCell ref="B5:B8"/>
    <mergeCell ref="C5:C8"/>
    <mergeCell ref="D5:D8"/>
    <mergeCell ref="E5:E8"/>
    <mergeCell ref="F5:F8"/>
    <mergeCell ref="B9:B13"/>
    <mergeCell ref="C9:C13"/>
    <mergeCell ref="D9:D13"/>
    <mergeCell ref="E9:E13"/>
    <mergeCell ref="F9:F13"/>
    <mergeCell ref="B14:B16"/>
    <mergeCell ref="C14:C16"/>
    <mergeCell ref="D14:D16"/>
    <mergeCell ref="E14:E16"/>
    <mergeCell ref="F14:F16"/>
    <mergeCell ref="B17:B18"/>
    <mergeCell ref="C17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ბიუჯეტი 2019</vt:lpstr>
      <vt:lpstr>2019-ამბულატორია</vt:lpstr>
      <vt:lpstr>2019 წლის 1 მარტამდე</vt:lpstr>
      <vt:lpstr>2019 წლის 1 მარტიდან</vt:lpstr>
      <vt:lpstr>2019-ფსიქოსოციალური</vt:lpstr>
      <vt:lpstr>2019-კრიზისული</vt:lpstr>
      <vt:lpstr>მობილური-2019</vt:lpstr>
      <vt:lpstr>Sheet1</vt:lpstr>
      <vt:lpstr>2019 მობილური-დადგენილება</vt:lpstr>
      <vt:lpstr>2019-სტაციონარი</vt:lpstr>
      <vt:lpstr>სტაციონარი-2019</vt:lpstr>
      <vt:lpstr>სტაციონარი-17-18</vt:lpstr>
      <vt:lpstr>Sheet2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smorgoshia</dc:creator>
  <cp:lastModifiedBy>Ekaterine Adamia</cp:lastModifiedBy>
  <cp:lastPrinted>2017-12-21T11:12:49Z</cp:lastPrinted>
  <dcterms:created xsi:type="dcterms:W3CDTF">2016-05-18T13:24:17Z</dcterms:created>
  <dcterms:modified xsi:type="dcterms:W3CDTF">2019-06-27T12:13:05Z</dcterms:modified>
</cp:coreProperties>
</file>